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northamptonac-my.sharepoint.com/personal/declan_ryan_northampton_ac_uk/Documents/Grants/Cycling Social Prescription/Evaluation Report/Data Collection/Baseline Count Data/"/>
    </mc:Choice>
  </mc:AlternateContent>
  <xr:revisionPtr revIDLastSave="3819" documentId="114_{6D0B5A6C-1A05-4BC6-A0C9-8D7499CD3CE9}" xr6:coauthVersionLast="44" xr6:coauthVersionMax="44" xr10:uidLastSave="{3EB4C292-33C1-4DAF-85CA-DE52884D8E69}"/>
  <bookViews>
    <workbookView xWindow="28680" yWindow="-120" windowWidth="29040" windowHeight="15840" tabRatio="815" firstSheet="1" activeTab="7" xr2:uid="{5BB53764-8504-4561-89BF-E1108B12D63C}"/>
  </bookViews>
  <sheets>
    <sheet name="Home" sheetId="12" r:id="rId1"/>
    <sheet name="Baseline March 2022--&gt;" sheetId="10" r:id="rId2"/>
    <sheet name="Delapre WD" sheetId="2" r:id="rId3"/>
    <sheet name="St Crispins WD" sheetId="4" r:id="rId4"/>
    <sheet name="Hunsbury WD" sheetId="5" r:id="rId5"/>
    <sheet name="Delapre WE" sheetId="7" r:id="rId6"/>
    <sheet name="Hunsbury WE" sheetId="8" r:id="rId7"/>
    <sheet name="St Crispins WE" sheetId="6" r:id="rId8"/>
    <sheet name="Template Sheets --&gt;" sheetId="11" r:id="rId9"/>
    <sheet name="Input" sheetId="1" r:id="rId10"/>
    <sheet name="Template Summary" sheetId="3" r:id="rId11"/>
    <sheet name="Reliability" sheetId="9" r:id="rId12"/>
    <sheet name="Delapre Automated Counts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" i="13" l="1"/>
  <c r="J9" i="13"/>
  <c r="J10" i="13"/>
  <c r="Q9" i="13"/>
  <c r="Q13" i="13"/>
  <c r="Q12" i="13" s="1"/>
  <c r="Q14" i="13"/>
  <c r="P14" i="13"/>
  <c r="O14" i="13"/>
  <c r="N14" i="13"/>
  <c r="M14" i="13"/>
  <c r="L14" i="13"/>
  <c r="K14" i="13"/>
  <c r="J14" i="13"/>
  <c r="P13" i="13"/>
  <c r="O13" i="13"/>
  <c r="N13" i="13"/>
  <c r="M13" i="13"/>
  <c r="L13" i="13"/>
  <c r="K13" i="13"/>
  <c r="J13" i="13"/>
  <c r="G13" i="13"/>
  <c r="F13" i="13"/>
  <c r="E13" i="13"/>
  <c r="P12" i="13"/>
  <c r="O12" i="13"/>
  <c r="M12" i="13"/>
  <c r="L12" i="13"/>
  <c r="K12" i="13"/>
  <c r="G12" i="13"/>
  <c r="F12" i="13"/>
  <c r="E12" i="13"/>
  <c r="Q11" i="13"/>
  <c r="P11" i="13"/>
  <c r="O11" i="13"/>
  <c r="N11" i="13"/>
  <c r="M11" i="13"/>
  <c r="L11" i="13"/>
  <c r="K11" i="13"/>
  <c r="J11" i="13"/>
  <c r="G11" i="13"/>
  <c r="F11" i="13"/>
  <c r="E11" i="13"/>
  <c r="Q10" i="13"/>
  <c r="P10" i="13"/>
  <c r="O10" i="13"/>
  <c r="N10" i="13"/>
  <c r="M10" i="13"/>
  <c r="L10" i="13"/>
  <c r="K10" i="13"/>
  <c r="G10" i="13"/>
  <c r="F10" i="13"/>
  <c r="E10" i="13"/>
  <c r="P9" i="13"/>
  <c r="O9" i="13"/>
  <c r="N9" i="13"/>
  <c r="M9" i="13"/>
  <c r="L9" i="13"/>
  <c r="K9" i="13"/>
  <c r="Q7" i="13"/>
  <c r="P7" i="13"/>
  <c r="P5" i="13" s="1"/>
  <c r="O7" i="13"/>
  <c r="N7" i="13"/>
  <c r="M7" i="13"/>
  <c r="L7" i="13"/>
  <c r="K7" i="13"/>
  <c r="J7" i="13"/>
  <c r="Q6" i="13"/>
  <c r="P6" i="13"/>
  <c r="O6" i="13"/>
  <c r="N6" i="13"/>
  <c r="M6" i="13"/>
  <c r="L6" i="13"/>
  <c r="L5" i="13" s="1"/>
  <c r="K6" i="13"/>
  <c r="J6" i="13"/>
  <c r="J5" i="13" s="1"/>
  <c r="Q5" i="13"/>
  <c r="O5" i="13"/>
  <c r="N5" i="13"/>
  <c r="M5" i="13"/>
  <c r="K5" i="13"/>
  <c r="Q4" i="13"/>
  <c r="P4" i="13"/>
  <c r="O4" i="13"/>
  <c r="N4" i="13"/>
  <c r="M4" i="13"/>
  <c r="L4" i="13"/>
  <c r="K4" i="13"/>
  <c r="J4" i="13"/>
  <c r="Q3" i="13"/>
  <c r="P3" i="13"/>
  <c r="O3" i="13"/>
  <c r="N3" i="13"/>
  <c r="M3" i="13"/>
  <c r="L3" i="13"/>
  <c r="K3" i="13"/>
  <c r="J3" i="13"/>
  <c r="Q2" i="13"/>
  <c r="P2" i="13"/>
  <c r="O2" i="13"/>
  <c r="N2" i="13"/>
  <c r="M2" i="13"/>
  <c r="L2" i="13"/>
  <c r="K2" i="13"/>
  <c r="J12" i="13" l="1"/>
  <c r="N12" i="13"/>
  <c r="D2" i="4" l="1"/>
  <c r="E2" i="4"/>
  <c r="F2" i="4"/>
  <c r="G2" i="4"/>
  <c r="H2" i="4"/>
  <c r="I2" i="4"/>
  <c r="J2" i="4"/>
  <c r="K2" i="4"/>
  <c r="L2" i="4"/>
  <c r="M2" i="4"/>
  <c r="D3" i="4"/>
  <c r="E3" i="4"/>
  <c r="F3" i="4"/>
  <c r="G3" i="4"/>
  <c r="H3" i="4"/>
  <c r="I3" i="4"/>
  <c r="J3" i="4"/>
  <c r="K3" i="4"/>
  <c r="L3" i="4"/>
  <c r="M3" i="4"/>
  <c r="D9" i="4"/>
  <c r="E9" i="4"/>
  <c r="E4" i="4" s="1"/>
  <c r="F9" i="4"/>
  <c r="G9" i="4"/>
  <c r="G4" i="4" s="1"/>
  <c r="H9" i="4"/>
  <c r="I9" i="4"/>
  <c r="J9" i="4"/>
  <c r="J4" i="4" s="1"/>
  <c r="K9" i="4"/>
  <c r="L9" i="4"/>
  <c r="M9" i="4"/>
  <c r="D10" i="4"/>
  <c r="C10" i="4" s="1"/>
  <c r="E10" i="4"/>
  <c r="F10" i="4"/>
  <c r="G10" i="4"/>
  <c r="H10" i="4"/>
  <c r="I10" i="4"/>
  <c r="J10" i="4"/>
  <c r="K10" i="4"/>
  <c r="L10" i="4"/>
  <c r="M10" i="4"/>
  <c r="D11" i="4"/>
  <c r="C11" i="4" s="1"/>
  <c r="C6" i="4" s="1"/>
  <c r="E11" i="4"/>
  <c r="E6" i="4" s="1"/>
  <c r="F11" i="4"/>
  <c r="G11" i="4"/>
  <c r="G6" i="4" s="1"/>
  <c r="H11" i="4"/>
  <c r="I11" i="4"/>
  <c r="I6" i="4" s="1"/>
  <c r="J11" i="4"/>
  <c r="K11" i="4"/>
  <c r="L11" i="4"/>
  <c r="M11" i="4"/>
  <c r="D12" i="4"/>
  <c r="E12" i="4"/>
  <c r="E7" i="4" s="1"/>
  <c r="F12" i="4"/>
  <c r="G12" i="4"/>
  <c r="G7" i="4" s="1"/>
  <c r="H12" i="4"/>
  <c r="I12" i="4"/>
  <c r="J12" i="4"/>
  <c r="J7" i="4" s="1"/>
  <c r="K12" i="4"/>
  <c r="L12" i="4"/>
  <c r="M12" i="4"/>
  <c r="D13" i="4"/>
  <c r="E13" i="4"/>
  <c r="E8" i="4" s="1"/>
  <c r="F13" i="4"/>
  <c r="F8" i="4" s="1"/>
  <c r="G13" i="4"/>
  <c r="G8" i="4" s="1"/>
  <c r="H13" i="4"/>
  <c r="I13" i="4"/>
  <c r="I8" i="4" s="1"/>
  <c r="J13" i="4"/>
  <c r="K13" i="4"/>
  <c r="L13" i="4"/>
  <c r="M13" i="4"/>
  <c r="A15" i="4"/>
  <c r="D16" i="4"/>
  <c r="E16" i="4"/>
  <c r="F16" i="4"/>
  <c r="G16" i="4"/>
  <c r="H16" i="4"/>
  <c r="I16" i="4"/>
  <c r="J16" i="4"/>
  <c r="K16" i="4"/>
  <c r="L16" i="4"/>
  <c r="M16" i="4"/>
  <c r="A17" i="4"/>
  <c r="D17" i="4"/>
  <c r="E17" i="4"/>
  <c r="F17" i="4"/>
  <c r="G17" i="4"/>
  <c r="H17" i="4"/>
  <c r="I17" i="4"/>
  <c r="J17" i="4"/>
  <c r="K17" i="4"/>
  <c r="L17" i="4"/>
  <c r="M17" i="4"/>
  <c r="D18" i="4"/>
  <c r="E18" i="4"/>
  <c r="F18" i="4"/>
  <c r="G18" i="4"/>
  <c r="H18" i="4"/>
  <c r="I18" i="4"/>
  <c r="J18" i="4"/>
  <c r="K18" i="4"/>
  <c r="L18" i="4"/>
  <c r="M18" i="4"/>
  <c r="D19" i="4"/>
  <c r="E19" i="4"/>
  <c r="F19" i="4"/>
  <c r="G19" i="4"/>
  <c r="H19" i="4"/>
  <c r="I19" i="4"/>
  <c r="J19" i="4"/>
  <c r="K19" i="4"/>
  <c r="L19" i="4"/>
  <c r="M19" i="4"/>
  <c r="D20" i="4"/>
  <c r="E20" i="4"/>
  <c r="F20" i="4"/>
  <c r="G20" i="4"/>
  <c r="H20" i="4"/>
  <c r="I20" i="4"/>
  <c r="J20" i="4"/>
  <c r="K20" i="4"/>
  <c r="L20" i="4"/>
  <c r="M20" i="4"/>
  <c r="A21" i="4"/>
  <c r="D21" i="4"/>
  <c r="E21" i="4"/>
  <c r="F21" i="4"/>
  <c r="G21" i="4"/>
  <c r="H21" i="4"/>
  <c r="I21" i="4"/>
  <c r="J21" i="4"/>
  <c r="K21" i="4"/>
  <c r="L21" i="4"/>
  <c r="M21" i="4"/>
  <c r="D22" i="4"/>
  <c r="E22" i="4"/>
  <c r="F22" i="4"/>
  <c r="G22" i="4"/>
  <c r="H22" i="4"/>
  <c r="I22" i="4"/>
  <c r="J22" i="4"/>
  <c r="K22" i="4"/>
  <c r="L22" i="4"/>
  <c r="M22" i="4"/>
  <c r="D23" i="4"/>
  <c r="E23" i="4"/>
  <c r="F23" i="4"/>
  <c r="G23" i="4"/>
  <c r="H23" i="4"/>
  <c r="I23" i="4"/>
  <c r="J23" i="4"/>
  <c r="K23" i="4"/>
  <c r="L23" i="4"/>
  <c r="M23" i="4"/>
  <c r="D24" i="4"/>
  <c r="E24" i="4"/>
  <c r="F24" i="4"/>
  <c r="G24" i="4"/>
  <c r="H24" i="4"/>
  <c r="I24" i="4"/>
  <c r="J24" i="4"/>
  <c r="K24" i="4"/>
  <c r="L24" i="4"/>
  <c r="M24" i="4"/>
  <c r="A25" i="4"/>
  <c r="D25" i="4"/>
  <c r="E25" i="4"/>
  <c r="F25" i="4"/>
  <c r="G25" i="4"/>
  <c r="H25" i="4"/>
  <c r="I25" i="4"/>
  <c r="J25" i="4"/>
  <c r="K25" i="4"/>
  <c r="L25" i="4"/>
  <c r="M25" i="4"/>
  <c r="D26" i="4"/>
  <c r="E26" i="4"/>
  <c r="F26" i="4"/>
  <c r="G26" i="4"/>
  <c r="H26" i="4"/>
  <c r="I26" i="4"/>
  <c r="J26" i="4"/>
  <c r="K26" i="4"/>
  <c r="L26" i="4"/>
  <c r="M26" i="4"/>
  <c r="D27" i="4"/>
  <c r="E27" i="4"/>
  <c r="F27" i="4"/>
  <c r="G27" i="4"/>
  <c r="H27" i="4"/>
  <c r="I27" i="4"/>
  <c r="J27" i="4"/>
  <c r="K27" i="4"/>
  <c r="L27" i="4"/>
  <c r="M27" i="4"/>
  <c r="D28" i="4"/>
  <c r="E28" i="4"/>
  <c r="F28" i="4"/>
  <c r="G28" i="4"/>
  <c r="H28" i="4"/>
  <c r="I28" i="4"/>
  <c r="J28" i="4"/>
  <c r="K28" i="4"/>
  <c r="L28" i="4"/>
  <c r="M28" i="4"/>
  <c r="D29" i="4"/>
  <c r="E29" i="4"/>
  <c r="F29" i="4"/>
  <c r="G29" i="4"/>
  <c r="H29" i="4"/>
  <c r="I29" i="4"/>
  <c r="J29" i="4"/>
  <c r="K29" i="4"/>
  <c r="L29" i="4"/>
  <c r="M29" i="4"/>
  <c r="A30" i="4"/>
  <c r="D30" i="4"/>
  <c r="E30" i="4"/>
  <c r="F30" i="4"/>
  <c r="G30" i="4"/>
  <c r="H30" i="4"/>
  <c r="I30" i="4"/>
  <c r="J30" i="4"/>
  <c r="K30" i="4"/>
  <c r="L30" i="4"/>
  <c r="M30" i="4"/>
  <c r="D31" i="4"/>
  <c r="E31" i="4"/>
  <c r="F31" i="4"/>
  <c r="G31" i="4"/>
  <c r="H31" i="4"/>
  <c r="I31" i="4"/>
  <c r="J31" i="4"/>
  <c r="K31" i="4"/>
  <c r="L31" i="4"/>
  <c r="M31" i="4"/>
  <c r="D32" i="4"/>
  <c r="E32" i="4"/>
  <c r="F32" i="4"/>
  <c r="G32" i="4"/>
  <c r="H32" i="4"/>
  <c r="I32" i="4"/>
  <c r="J32" i="4"/>
  <c r="K32" i="4"/>
  <c r="L32" i="4"/>
  <c r="M32" i="4"/>
  <c r="D33" i="4"/>
  <c r="E33" i="4"/>
  <c r="F33" i="4"/>
  <c r="G33" i="4"/>
  <c r="H33" i="4"/>
  <c r="I33" i="4"/>
  <c r="J33" i="4"/>
  <c r="K33" i="4"/>
  <c r="L33" i="4"/>
  <c r="M33" i="4"/>
  <c r="F4" i="4" l="1"/>
  <c r="I7" i="4"/>
  <c r="K6" i="4"/>
  <c r="I4" i="4"/>
  <c r="H8" i="4"/>
  <c r="D8" i="4"/>
  <c r="F7" i="4"/>
  <c r="L6" i="4"/>
  <c r="H6" i="4"/>
  <c r="D6" i="4"/>
  <c r="J8" i="4"/>
  <c r="H7" i="4"/>
  <c r="D7" i="4"/>
  <c r="J6" i="4"/>
  <c r="F6" i="4"/>
  <c r="H4" i="4"/>
  <c r="C9" i="4"/>
  <c r="C4" i="4" s="1"/>
  <c r="L7" i="4"/>
  <c r="C12" i="4"/>
  <c r="C7" i="4" s="1"/>
  <c r="D4" i="4"/>
  <c r="C13" i="4"/>
  <c r="C8" i="4" s="1"/>
  <c r="P29" i="9"/>
  <c r="BR29" i="9"/>
  <c r="CQ50" i="9"/>
  <c r="CP50" i="9"/>
  <c r="CO50" i="9"/>
  <c r="CN50" i="9"/>
  <c r="CM50" i="9"/>
  <c r="CL50" i="9"/>
  <c r="CQ49" i="9"/>
  <c r="CP49" i="9"/>
  <c r="CO49" i="9"/>
  <c r="CN49" i="9"/>
  <c r="CM49" i="9"/>
  <c r="CL49" i="9"/>
  <c r="CQ48" i="9"/>
  <c r="CP48" i="9"/>
  <c r="CO48" i="9"/>
  <c r="CN48" i="9"/>
  <c r="CM48" i="9"/>
  <c r="CL48" i="9"/>
  <c r="CQ47" i="9"/>
  <c r="CP47" i="9"/>
  <c r="CO47" i="9"/>
  <c r="CN47" i="9"/>
  <c r="CM47" i="9"/>
  <c r="CL47" i="9"/>
  <c r="CQ46" i="9"/>
  <c r="CP46" i="9"/>
  <c r="CO46" i="9"/>
  <c r="CN46" i="9"/>
  <c r="CM46" i="9"/>
  <c r="CL46" i="9"/>
  <c r="CQ45" i="9"/>
  <c r="CP45" i="9"/>
  <c r="CO45" i="9"/>
  <c r="CN45" i="9"/>
  <c r="CM45" i="9"/>
  <c r="CL45" i="9"/>
  <c r="CQ44" i="9"/>
  <c r="CP44" i="9"/>
  <c r="CO44" i="9"/>
  <c r="CN44" i="9"/>
  <c r="CM44" i="9"/>
  <c r="CL44" i="9"/>
  <c r="CQ43" i="9"/>
  <c r="CP43" i="9"/>
  <c r="CO43" i="9"/>
  <c r="CN43" i="9"/>
  <c r="CM43" i="9"/>
  <c r="CL43" i="9"/>
  <c r="CQ42" i="9"/>
  <c r="CP42" i="9"/>
  <c r="CO42" i="9"/>
  <c r="CN42" i="9"/>
  <c r="CM42" i="9"/>
  <c r="CL42" i="9"/>
  <c r="CQ41" i="9"/>
  <c r="CP41" i="9"/>
  <c r="CO41" i="9"/>
  <c r="CN41" i="9"/>
  <c r="CM41" i="9"/>
  <c r="CL41" i="9"/>
  <c r="CQ40" i="9"/>
  <c r="CP40" i="9"/>
  <c r="CO40" i="9"/>
  <c r="CN40" i="9"/>
  <c r="CM40" i="9"/>
  <c r="CL40" i="9"/>
  <c r="CQ39" i="9"/>
  <c r="CP39" i="9"/>
  <c r="CO39" i="9"/>
  <c r="CN39" i="9"/>
  <c r="CM39" i="9"/>
  <c r="CL39" i="9"/>
  <c r="CQ38" i="9"/>
  <c r="CP38" i="9"/>
  <c r="CO38" i="9"/>
  <c r="CN38" i="9"/>
  <c r="CM38" i="9"/>
  <c r="CL38" i="9"/>
  <c r="CQ37" i="9"/>
  <c r="CP37" i="9"/>
  <c r="CO37" i="9"/>
  <c r="CN37" i="9"/>
  <c r="CM37" i="9"/>
  <c r="CL37" i="9"/>
  <c r="CQ36" i="9"/>
  <c r="CP36" i="9"/>
  <c r="CO36" i="9"/>
  <c r="CN36" i="9"/>
  <c r="CM36" i="9"/>
  <c r="CL36" i="9"/>
  <c r="CQ35" i="9"/>
  <c r="CP35" i="9"/>
  <c r="CO35" i="9"/>
  <c r="CN35" i="9"/>
  <c r="CM35" i="9"/>
  <c r="CL35" i="9"/>
  <c r="CQ34" i="9"/>
  <c r="CP34" i="9"/>
  <c r="CO34" i="9"/>
  <c r="CN34" i="9"/>
  <c r="CM34" i="9"/>
  <c r="CL34" i="9"/>
  <c r="CQ33" i="9"/>
  <c r="CP33" i="9"/>
  <c r="CO33" i="9"/>
  <c r="CN33" i="9"/>
  <c r="CM33" i="9"/>
  <c r="CL33" i="9"/>
  <c r="CQ32" i="9"/>
  <c r="CP32" i="9"/>
  <c r="CO32" i="9"/>
  <c r="CN32" i="9"/>
  <c r="CM32" i="9"/>
  <c r="CL32" i="9"/>
  <c r="CQ31" i="9"/>
  <c r="CP31" i="9"/>
  <c r="CO31" i="9"/>
  <c r="CN31" i="9"/>
  <c r="CM31" i="9"/>
  <c r="CL31" i="9"/>
  <c r="CQ30" i="9"/>
  <c r="CP30" i="9"/>
  <c r="CO30" i="9"/>
  <c r="CN30" i="9"/>
  <c r="CM30" i="9"/>
  <c r="CL30" i="9"/>
  <c r="CQ29" i="9"/>
  <c r="CP29" i="9"/>
  <c r="CO29" i="9"/>
  <c r="CN29" i="9"/>
  <c r="CM29" i="9"/>
  <c r="CL29" i="9"/>
  <c r="CF50" i="9"/>
  <c r="CE50" i="9"/>
  <c r="CD50" i="9"/>
  <c r="CC50" i="9"/>
  <c r="CB50" i="9"/>
  <c r="CA50" i="9"/>
  <c r="CF49" i="9"/>
  <c r="CE49" i="9"/>
  <c r="CD49" i="9"/>
  <c r="CC49" i="9"/>
  <c r="CB49" i="9"/>
  <c r="CA49" i="9"/>
  <c r="CF48" i="9"/>
  <c r="CE48" i="9"/>
  <c r="CD48" i="9"/>
  <c r="CC48" i="9"/>
  <c r="CB48" i="9"/>
  <c r="CA48" i="9"/>
  <c r="CF47" i="9"/>
  <c r="CE47" i="9"/>
  <c r="CD47" i="9"/>
  <c r="CC47" i="9"/>
  <c r="CB47" i="9"/>
  <c r="CA47" i="9"/>
  <c r="CF46" i="9"/>
  <c r="CE46" i="9"/>
  <c r="CD46" i="9"/>
  <c r="CC46" i="9"/>
  <c r="CB46" i="9"/>
  <c r="CA46" i="9"/>
  <c r="CF45" i="9"/>
  <c r="CE45" i="9"/>
  <c r="CD45" i="9"/>
  <c r="CC45" i="9"/>
  <c r="CB45" i="9"/>
  <c r="CA45" i="9"/>
  <c r="CF44" i="9"/>
  <c r="CE44" i="9"/>
  <c r="CD44" i="9"/>
  <c r="CC44" i="9"/>
  <c r="CB44" i="9"/>
  <c r="CA44" i="9"/>
  <c r="CF43" i="9"/>
  <c r="CE43" i="9"/>
  <c r="CD43" i="9"/>
  <c r="CC43" i="9"/>
  <c r="CB43" i="9"/>
  <c r="CA43" i="9"/>
  <c r="CF42" i="9"/>
  <c r="CE42" i="9"/>
  <c r="CD42" i="9"/>
  <c r="CC42" i="9"/>
  <c r="CB42" i="9"/>
  <c r="CA42" i="9"/>
  <c r="CF41" i="9"/>
  <c r="CE41" i="9"/>
  <c r="CD41" i="9"/>
  <c r="CC41" i="9"/>
  <c r="CB41" i="9"/>
  <c r="CA41" i="9"/>
  <c r="CF40" i="9"/>
  <c r="CE40" i="9"/>
  <c r="CD40" i="9"/>
  <c r="CC40" i="9"/>
  <c r="CB40" i="9"/>
  <c r="CA40" i="9"/>
  <c r="CF39" i="9"/>
  <c r="CE39" i="9"/>
  <c r="CD39" i="9"/>
  <c r="CC39" i="9"/>
  <c r="CB39" i="9"/>
  <c r="CA39" i="9"/>
  <c r="CF38" i="9"/>
  <c r="CE38" i="9"/>
  <c r="CD38" i="9"/>
  <c r="CC38" i="9"/>
  <c r="CB38" i="9"/>
  <c r="CA38" i="9"/>
  <c r="CF37" i="9"/>
  <c r="CE37" i="9"/>
  <c r="CD37" i="9"/>
  <c r="CC37" i="9"/>
  <c r="CB37" i="9"/>
  <c r="CA37" i="9"/>
  <c r="CF36" i="9"/>
  <c r="CE36" i="9"/>
  <c r="CD36" i="9"/>
  <c r="CC36" i="9"/>
  <c r="CB36" i="9"/>
  <c r="CA36" i="9"/>
  <c r="CF35" i="9"/>
  <c r="CE35" i="9"/>
  <c r="CD35" i="9"/>
  <c r="CC35" i="9"/>
  <c r="CB35" i="9"/>
  <c r="CA35" i="9"/>
  <c r="CF34" i="9"/>
  <c r="CE34" i="9"/>
  <c r="CD34" i="9"/>
  <c r="CC34" i="9"/>
  <c r="CB34" i="9"/>
  <c r="CA34" i="9"/>
  <c r="CF33" i="9"/>
  <c r="CE33" i="9"/>
  <c r="CD33" i="9"/>
  <c r="CC33" i="9"/>
  <c r="CB33" i="9"/>
  <c r="CA33" i="9"/>
  <c r="CF32" i="9"/>
  <c r="CE32" i="9"/>
  <c r="CD32" i="9"/>
  <c r="CC32" i="9"/>
  <c r="CB32" i="9"/>
  <c r="CA32" i="9"/>
  <c r="CF31" i="9"/>
  <c r="CE31" i="9"/>
  <c r="CD31" i="9"/>
  <c r="CC31" i="9"/>
  <c r="CB31" i="9"/>
  <c r="CA31" i="9"/>
  <c r="CF30" i="9"/>
  <c r="CE30" i="9"/>
  <c r="CD30" i="9"/>
  <c r="CC30" i="9"/>
  <c r="CB30" i="9"/>
  <c r="CA30" i="9"/>
  <c r="CF29" i="9"/>
  <c r="CE29" i="9"/>
  <c r="CD29" i="9"/>
  <c r="CC29" i="9"/>
  <c r="CB29" i="9"/>
  <c r="CA29" i="9"/>
  <c r="BU50" i="9"/>
  <c r="BT50" i="9"/>
  <c r="BS50" i="9"/>
  <c r="BR50" i="9"/>
  <c r="BQ50" i="9"/>
  <c r="BP50" i="9"/>
  <c r="BU49" i="9"/>
  <c r="BT49" i="9"/>
  <c r="BS49" i="9"/>
  <c r="BR49" i="9"/>
  <c r="BQ49" i="9"/>
  <c r="BP49" i="9"/>
  <c r="BU48" i="9"/>
  <c r="BT48" i="9"/>
  <c r="BS48" i="9"/>
  <c r="BR48" i="9"/>
  <c r="BQ48" i="9"/>
  <c r="BP48" i="9"/>
  <c r="BU47" i="9"/>
  <c r="BT47" i="9"/>
  <c r="BS47" i="9"/>
  <c r="BR47" i="9"/>
  <c r="BQ47" i="9"/>
  <c r="BP47" i="9"/>
  <c r="BU46" i="9"/>
  <c r="BT46" i="9"/>
  <c r="BS46" i="9"/>
  <c r="BR46" i="9"/>
  <c r="BQ46" i="9"/>
  <c r="BP46" i="9"/>
  <c r="BU45" i="9"/>
  <c r="BT45" i="9"/>
  <c r="BS45" i="9"/>
  <c r="BR45" i="9"/>
  <c r="BQ45" i="9"/>
  <c r="BP45" i="9"/>
  <c r="BU44" i="9"/>
  <c r="BT44" i="9"/>
  <c r="BS44" i="9"/>
  <c r="BR44" i="9"/>
  <c r="BQ44" i="9"/>
  <c r="BP44" i="9"/>
  <c r="BU43" i="9"/>
  <c r="BT43" i="9"/>
  <c r="BS43" i="9"/>
  <c r="BR43" i="9"/>
  <c r="BQ43" i="9"/>
  <c r="BP43" i="9"/>
  <c r="BU42" i="9"/>
  <c r="BT42" i="9"/>
  <c r="BS42" i="9"/>
  <c r="BR42" i="9"/>
  <c r="BQ42" i="9"/>
  <c r="BP42" i="9"/>
  <c r="BU41" i="9"/>
  <c r="BT41" i="9"/>
  <c r="BS41" i="9"/>
  <c r="BR41" i="9"/>
  <c r="BQ41" i="9"/>
  <c r="BP41" i="9"/>
  <c r="BU40" i="9"/>
  <c r="BT40" i="9"/>
  <c r="BS40" i="9"/>
  <c r="BR40" i="9"/>
  <c r="BQ40" i="9"/>
  <c r="BP40" i="9"/>
  <c r="BU39" i="9"/>
  <c r="BT39" i="9"/>
  <c r="BS39" i="9"/>
  <c r="BR39" i="9"/>
  <c r="BQ39" i="9"/>
  <c r="BP39" i="9"/>
  <c r="BU38" i="9"/>
  <c r="BT38" i="9"/>
  <c r="BS38" i="9"/>
  <c r="BR38" i="9"/>
  <c r="BQ38" i="9"/>
  <c r="BP38" i="9"/>
  <c r="BU37" i="9"/>
  <c r="BT37" i="9"/>
  <c r="BS37" i="9"/>
  <c r="BR37" i="9"/>
  <c r="BQ37" i="9"/>
  <c r="BP37" i="9"/>
  <c r="BU36" i="9"/>
  <c r="BT36" i="9"/>
  <c r="BS36" i="9"/>
  <c r="BR36" i="9"/>
  <c r="BQ36" i="9"/>
  <c r="BP36" i="9"/>
  <c r="BU35" i="9"/>
  <c r="BT35" i="9"/>
  <c r="BS35" i="9"/>
  <c r="BR35" i="9"/>
  <c r="BQ35" i="9"/>
  <c r="BP35" i="9"/>
  <c r="BU34" i="9"/>
  <c r="BT34" i="9"/>
  <c r="BS34" i="9"/>
  <c r="BR34" i="9"/>
  <c r="BQ34" i="9"/>
  <c r="BP34" i="9"/>
  <c r="BU33" i="9"/>
  <c r="BT33" i="9"/>
  <c r="BS33" i="9"/>
  <c r="BR33" i="9"/>
  <c r="BQ33" i="9"/>
  <c r="BP33" i="9"/>
  <c r="BU32" i="9"/>
  <c r="BT32" i="9"/>
  <c r="BS32" i="9"/>
  <c r="BR32" i="9"/>
  <c r="BQ32" i="9"/>
  <c r="BP32" i="9"/>
  <c r="BU31" i="9"/>
  <c r="BT31" i="9"/>
  <c r="BS31" i="9"/>
  <c r="BR31" i="9"/>
  <c r="BQ31" i="9"/>
  <c r="BP31" i="9"/>
  <c r="BU30" i="9"/>
  <c r="BT30" i="9"/>
  <c r="BS30" i="9"/>
  <c r="BR30" i="9"/>
  <c r="BQ30" i="9"/>
  <c r="BP30" i="9"/>
  <c r="BU29" i="9"/>
  <c r="BT29" i="9"/>
  <c r="BS29" i="9"/>
  <c r="BQ29" i="9"/>
  <c r="BP29" i="9"/>
  <c r="BJ50" i="9"/>
  <c r="BI50" i="9"/>
  <c r="BH50" i="9"/>
  <c r="BG50" i="9"/>
  <c r="BF50" i="9"/>
  <c r="BE50" i="9"/>
  <c r="BJ49" i="9"/>
  <c r="BI49" i="9"/>
  <c r="BH49" i="9"/>
  <c r="BG49" i="9"/>
  <c r="BF49" i="9"/>
  <c r="BE49" i="9"/>
  <c r="BJ48" i="9"/>
  <c r="BI48" i="9"/>
  <c r="BH48" i="9"/>
  <c r="BG48" i="9"/>
  <c r="BF48" i="9"/>
  <c r="BE48" i="9"/>
  <c r="BJ47" i="9"/>
  <c r="BI47" i="9"/>
  <c r="BH47" i="9"/>
  <c r="BG47" i="9"/>
  <c r="BF47" i="9"/>
  <c r="BE47" i="9"/>
  <c r="BJ46" i="9"/>
  <c r="BI46" i="9"/>
  <c r="BH46" i="9"/>
  <c r="BG46" i="9"/>
  <c r="BF46" i="9"/>
  <c r="BE46" i="9"/>
  <c r="BJ45" i="9"/>
  <c r="BI45" i="9"/>
  <c r="BH45" i="9"/>
  <c r="BG45" i="9"/>
  <c r="BF45" i="9"/>
  <c r="BE45" i="9"/>
  <c r="BJ44" i="9"/>
  <c r="BI44" i="9"/>
  <c r="BH44" i="9"/>
  <c r="BG44" i="9"/>
  <c r="BF44" i="9"/>
  <c r="BE44" i="9"/>
  <c r="BJ43" i="9"/>
  <c r="BI43" i="9"/>
  <c r="BH43" i="9"/>
  <c r="BG43" i="9"/>
  <c r="BF43" i="9"/>
  <c r="BE43" i="9"/>
  <c r="BJ42" i="9"/>
  <c r="BI42" i="9"/>
  <c r="BH42" i="9"/>
  <c r="BG42" i="9"/>
  <c r="BF42" i="9"/>
  <c r="BE42" i="9"/>
  <c r="BJ41" i="9"/>
  <c r="BI41" i="9"/>
  <c r="BH41" i="9"/>
  <c r="BG41" i="9"/>
  <c r="BF41" i="9"/>
  <c r="BE41" i="9"/>
  <c r="BJ40" i="9"/>
  <c r="BI40" i="9"/>
  <c r="BH40" i="9"/>
  <c r="BG40" i="9"/>
  <c r="BF40" i="9"/>
  <c r="BE40" i="9"/>
  <c r="BJ39" i="9"/>
  <c r="BI39" i="9"/>
  <c r="BH39" i="9"/>
  <c r="BG39" i="9"/>
  <c r="BF39" i="9"/>
  <c r="BE39" i="9"/>
  <c r="BJ38" i="9"/>
  <c r="BI38" i="9"/>
  <c r="BH38" i="9"/>
  <c r="BG38" i="9"/>
  <c r="BF38" i="9"/>
  <c r="BE38" i="9"/>
  <c r="BJ37" i="9"/>
  <c r="BI37" i="9"/>
  <c r="BH37" i="9"/>
  <c r="BG37" i="9"/>
  <c r="BF37" i="9"/>
  <c r="BE37" i="9"/>
  <c r="BJ36" i="9"/>
  <c r="BI36" i="9"/>
  <c r="BH36" i="9"/>
  <c r="BG36" i="9"/>
  <c r="BF36" i="9"/>
  <c r="BE36" i="9"/>
  <c r="BJ35" i="9"/>
  <c r="BI35" i="9"/>
  <c r="BH35" i="9"/>
  <c r="BG35" i="9"/>
  <c r="BF35" i="9"/>
  <c r="BE35" i="9"/>
  <c r="BJ34" i="9"/>
  <c r="BI34" i="9"/>
  <c r="BH34" i="9"/>
  <c r="BG34" i="9"/>
  <c r="BF34" i="9"/>
  <c r="BE34" i="9"/>
  <c r="BJ33" i="9"/>
  <c r="BI33" i="9"/>
  <c r="BH33" i="9"/>
  <c r="BG33" i="9"/>
  <c r="BF33" i="9"/>
  <c r="BE33" i="9"/>
  <c r="BJ32" i="9"/>
  <c r="BI32" i="9"/>
  <c r="BH32" i="9"/>
  <c r="BG32" i="9"/>
  <c r="BF32" i="9"/>
  <c r="BE32" i="9"/>
  <c r="BJ31" i="9"/>
  <c r="BI31" i="9"/>
  <c r="BH31" i="9"/>
  <c r="BG31" i="9"/>
  <c r="BF31" i="9"/>
  <c r="BE31" i="9"/>
  <c r="BJ30" i="9"/>
  <c r="BI30" i="9"/>
  <c r="BH30" i="9"/>
  <c r="BG30" i="9"/>
  <c r="BF30" i="9"/>
  <c r="BE30" i="9"/>
  <c r="BJ29" i="9"/>
  <c r="BI29" i="9"/>
  <c r="BH29" i="9"/>
  <c r="BG29" i="9"/>
  <c r="BF29" i="9"/>
  <c r="BE29" i="9"/>
  <c r="AY50" i="9"/>
  <c r="AX50" i="9"/>
  <c r="AW50" i="9"/>
  <c r="AV50" i="9"/>
  <c r="AU50" i="9"/>
  <c r="AT50" i="9"/>
  <c r="AY49" i="9"/>
  <c r="AX49" i="9"/>
  <c r="AW49" i="9"/>
  <c r="AV49" i="9"/>
  <c r="AU49" i="9"/>
  <c r="AT49" i="9"/>
  <c r="AY48" i="9"/>
  <c r="AX48" i="9"/>
  <c r="AW48" i="9"/>
  <c r="AV48" i="9"/>
  <c r="AU48" i="9"/>
  <c r="AT48" i="9"/>
  <c r="AY47" i="9"/>
  <c r="AX47" i="9"/>
  <c r="AW47" i="9"/>
  <c r="AV47" i="9"/>
  <c r="AU47" i="9"/>
  <c r="AT47" i="9"/>
  <c r="AY46" i="9"/>
  <c r="AX46" i="9"/>
  <c r="AW46" i="9"/>
  <c r="AV46" i="9"/>
  <c r="AU46" i="9"/>
  <c r="AT46" i="9"/>
  <c r="AY45" i="9"/>
  <c r="AX45" i="9"/>
  <c r="AW45" i="9"/>
  <c r="AV45" i="9"/>
  <c r="AU45" i="9"/>
  <c r="AT45" i="9"/>
  <c r="AY44" i="9"/>
  <c r="AX44" i="9"/>
  <c r="AW44" i="9"/>
  <c r="AV44" i="9"/>
  <c r="AU44" i="9"/>
  <c r="AT44" i="9"/>
  <c r="AY43" i="9"/>
  <c r="AX43" i="9"/>
  <c r="AW43" i="9"/>
  <c r="AV43" i="9"/>
  <c r="AU43" i="9"/>
  <c r="AT43" i="9"/>
  <c r="AY42" i="9"/>
  <c r="AX42" i="9"/>
  <c r="AW42" i="9"/>
  <c r="AV42" i="9"/>
  <c r="AU42" i="9"/>
  <c r="AT42" i="9"/>
  <c r="AY41" i="9"/>
  <c r="AX41" i="9"/>
  <c r="AW41" i="9"/>
  <c r="AV41" i="9"/>
  <c r="AU41" i="9"/>
  <c r="AT41" i="9"/>
  <c r="AY40" i="9"/>
  <c r="AX40" i="9"/>
  <c r="AW40" i="9"/>
  <c r="AV40" i="9"/>
  <c r="AU40" i="9"/>
  <c r="AT40" i="9"/>
  <c r="AY39" i="9"/>
  <c r="AX39" i="9"/>
  <c r="AW39" i="9"/>
  <c r="AV39" i="9"/>
  <c r="AU39" i="9"/>
  <c r="AT39" i="9"/>
  <c r="AY38" i="9"/>
  <c r="AX38" i="9"/>
  <c r="AW38" i="9"/>
  <c r="AV38" i="9"/>
  <c r="AU38" i="9"/>
  <c r="AT38" i="9"/>
  <c r="AY37" i="9"/>
  <c r="AX37" i="9"/>
  <c r="AW37" i="9"/>
  <c r="AV37" i="9"/>
  <c r="AU37" i="9"/>
  <c r="AT37" i="9"/>
  <c r="AY36" i="9"/>
  <c r="AX36" i="9"/>
  <c r="AW36" i="9"/>
  <c r="AV36" i="9"/>
  <c r="AU36" i="9"/>
  <c r="AT36" i="9"/>
  <c r="AY35" i="9"/>
  <c r="AX35" i="9"/>
  <c r="AW35" i="9"/>
  <c r="AV35" i="9"/>
  <c r="AU35" i="9"/>
  <c r="AT35" i="9"/>
  <c r="AY34" i="9"/>
  <c r="AX34" i="9"/>
  <c r="AW34" i="9"/>
  <c r="AV34" i="9"/>
  <c r="AU34" i="9"/>
  <c r="AT34" i="9"/>
  <c r="AY33" i="9"/>
  <c r="AX33" i="9"/>
  <c r="AW33" i="9"/>
  <c r="AV33" i="9"/>
  <c r="AU33" i="9"/>
  <c r="AT33" i="9"/>
  <c r="AY32" i="9"/>
  <c r="AX32" i="9"/>
  <c r="AW32" i="9"/>
  <c r="AV32" i="9"/>
  <c r="AU32" i="9"/>
  <c r="AT32" i="9"/>
  <c r="AY31" i="9"/>
  <c r="AX31" i="9"/>
  <c r="AW31" i="9"/>
  <c r="AV31" i="9"/>
  <c r="AU31" i="9"/>
  <c r="AT31" i="9"/>
  <c r="AY30" i="9"/>
  <c r="AX30" i="9"/>
  <c r="AW30" i="9"/>
  <c r="AV30" i="9"/>
  <c r="AU30" i="9"/>
  <c r="AT30" i="9"/>
  <c r="AY29" i="9"/>
  <c r="AX29" i="9"/>
  <c r="AW29" i="9"/>
  <c r="AV29" i="9"/>
  <c r="AU29" i="9"/>
  <c r="AT29" i="9"/>
  <c r="AN50" i="9"/>
  <c r="AM50" i="9"/>
  <c r="AL50" i="9"/>
  <c r="AK50" i="9"/>
  <c r="AJ50" i="9"/>
  <c r="AI50" i="9"/>
  <c r="AN49" i="9"/>
  <c r="AM49" i="9"/>
  <c r="AL49" i="9"/>
  <c r="AK49" i="9"/>
  <c r="AJ49" i="9"/>
  <c r="AI49" i="9"/>
  <c r="AN48" i="9"/>
  <c r="AM48" i="9"/>
  <c r="AL48" i="9"/>
  <c r="AK48" i="9"/>
  <c r="AJ48" i="9"/>
  <c r="AI48" i="9"/>
  <c r="AN47" i="9"/>
  <c r="AM47" i="9"/>
  <c r="AL47" i="9"/>
  <c r="AK47" i="9"/>
  <c r="AJ47" i="9"/>
  <c r="AI47" i="9"/>
  <c r="AN46" i="9"/>
  <c r="AM46" i="9"/>
  <c r="AL46" i="9"/>
  <c r="AK46" i="9"/>
  <c r="AJ46" i="9"/>
  <c r="AI46" i="9"/>
  <c r="AN45" i="9"/>
  <c r="AM45" i="9"/>
  <c r="AL45" i="9"/>
  <c r="AK45" i="9"/>
  <c r="AJ45" i="9"/>
  <c r="AI45" i="9"/>
  <c r="AN44" i="9"/>
  <c r="AM44" i="9"/>
  <c r="AL44" i="9"/>
  <c r="AK44" i="9"/>
  <c r="AJ44" i="9"/>
  <c r="AI44" i="9"/>
  <c r="AN43" i="9"/>
  <c r="AM43" i="9"/>
  <c r="AL43" i="9"/>
  <c r="AK43" i="9"/>
  <c r="AJ43" i="9"/>
  <c r="AI43" i="9"/>
  <c r="AN42" i="9"/>
  <c r="AM42" i="9"/>
  <c r="AL42" i="9"/>
  <c r="AK42" i="9"/>
  <c r="AJ42" i="9"/>
  <c r="AI42" i="9"/>
  <c r="AN41" i="9"/>
  <c r="AM41" i="9"/>
  <c r="AL41" i="9"/>
  <c r="AK41" i="9"/>
  <c r="AJ41" i="9"/>
  <c r="AI41" i="9"/>
  <c r="AN40" i="9"/>
  <c r="AM40" i="9"/>
  <c r="AL40" i="9"/>
  <c r="AK40" i="9"/>
  <c r="AJ40" i="9"/>
  <c r="AI40" i="9"/>
  <c r="AN39" i="9"/>
  <c r="AM39" i="9"/>
  <c r="AL39" i="9"/>
  <c r="AK39" i="9"/>
  <c r="AJ39" i="9"/>
  <c r="AI39" i="9"/>
  <c r="AN38" i="9"/>
  <c r="AM38" i="9"/>
  <c r="AL38" i="9"/>
  <c r="AK38" i="9"/>
  <c r="AJ38" i="9"/>
  <c r="AI38" i="9"/>
  <c r="AN37" i="9"/>
  <c r="AM37" i="9"/>
  <c r="AL37" i="9"/>
  <c r="AK37" i="9"/>
  <c r="AJ37" i="9"/>
  <c r="AI37" i="9"/>
  <c r="AN36" i="9"/>
  <c r="AM36" i="9"/>
  <c r="AL36" i="9"/>
  <c r="AK36" i="9"/>
  <c r="AJ36" i="9"/>
  <c r="AI36" i="9"/>
  <c r="AN35" i="9"/>
  <c r="AM35" i="9"/>
  <c r="AL35" i="9"/>
  <c r="AK35" i="9"/>
  <c r="AJ35" i="9"/>
  <c r="AI35" i="9"/>
  <c r="AN34" i="9"/>
  <c r="AM34" i="9"/>
  <c r="AL34" i="9"/>
  <c r="AK34" i="9"/>
  <c r="AJ34" i="9"/>
  <c r="AI34" i="9"/>
  <c r="AN33" i="9"/>
  <c r="AM33" i="9"/>
  <c r="AL33" i="9"/>
  <c r="AK33" i="9"/>
  <c r="AJ33" i="9"/>
  <c r="AI33" i="9"/>
  <c r="AN32" i="9"/>
  <c r="AM32" i="9"/>
  <c r="AL32" i="9"/>
  <c r="AK32" i="9"/>
  <c r="AJ32" i="9"/>
  <c r="AI32" i="9"/>
  <c r="AN31" i="9"/>
  <c r="AM31" i="9"/>
  <c r="AL31" i="9"/>
  <c r="AK31" i="9"/>
  <c r="AJ31" i="9"/>
  <c r="AI31" i="9"/>
  <c r="AN30" i="9"/>
  <c r="AM30" i="9"/>
  <c r="AL30" i="9"/>
  <c r="AK30" i="9"/>
  <c r="AJ30" i="9"/>
  <c r="AI30" i="9"/>
  <c r="AN29" i="9"/>
  <c r="AM29" i="9"/>
  <c r="AL29" i="9"/>
  <c r="AK29" i="9"/>
  <c r="AJ29" i="9"/>
  <c r="AI29" i="9"/>
  <c r="AC50" i="9"/>
  <c r="AB50" i="9"/>
  <c r="AA50" i="9"/>
  <c r="Z50" i="9"/>
  <c r="Y50" i="9"/>
  <c r="X50" i="9"/>
  <c r="AC49" i="9"/>
  <c r="AB49" i="9"/>
  <c r="AA49" i="9"/>
  <c r="Z49" i="9"/>
  <c r="Y49" i="9"/>
  <c r="X49" i="9"/>
  <c r="AC48" i="9"/>
  <c r="AB48" i="9"/>
  <c r="AA48" i="9"/>
  <c r="Z48" i="9"/>
  <c r="Y48" i="9"/>
  <c r="X48" i="9"/>
  <c r="AC47" i="9"/>
  <c r="AB47" i="9"/>
  <c r="AA47" i="9"/>
  <c r="Z47" i="9"/>
  <c r="Y47" i="9"/>
  <c r="X47" i="9"/>
  <c r="AC46" i="9"/>
  <c r="AB46" i="9"/>
  <c r="AA46" i="9"/>
  <c r="Z46" i="9"/>
  <c r="Y46" i="9"/>
  <c r="X46" i="9"/>
  <c r="AC45" i="9"/>
  <c r="AB45" i="9"/>
  <c r="AA45" i="9"/>
  <c r="Z45" i="9"/>
  <c r="Y45" i="9"/>
  <c r="X45" i="9"/>
  <c r="AC44" i="9"/>
  <c r="AB44" i="9"/>
  <c r="AA44" i="9"/>
  <c r="Z44" i="9"/>
  <c r="Y44" i="9"/>
  <c r="X44" i="9"/>
  <c r="AC43" i="9"/>
  <c r="AB43" i="9"/>
  <c r="AA43" i="9"/>
  <c r="Z43" i="9"/>
  <c r="Y43" i="9"/>
  <c r="X43" i="9"/>
  <c r="AC42" i="9"/>
  <c r="AB42" i="9"/>
  <c r="AA42" i="9"/>
  <c r="Z42" i="9"/>
  <c r="Y42" i="9"/>
  <c r="X42" i="9"/>
  <c r="AC41" i="9"/>
  <c r="AB41" i="9"/>
  <c r="AA41" i="9"/>
  <c r="Z41" i="9"/>
  <c r="Y41" i="9"/>
  <c r="X41" i="9"/>
  <c r="AC40" i="9"/>
  <c r="AB40" i="9"/>
  <c r="AA40" i="9"/>
  <c r="Z40" i="9"/>
  <c r="Y40" i="9"/>
  <c r="X40" i="9"/>
  <c r="AC39" i="9"/>
  <c r="AB39" i="9"/>
  <c r="AA39" i="9"/>
  <c r="Z39" i="9"/>
  <c r="Y39" i="9"/>
  <c r="X39" i="9"/>
  <c r="AC38" i="9"/>
  <c r="AB38" i="9"/>
  <c r="AA38" i="9"/>
  <c r="Z38" i="9"/>
  <c r="Y38" i="9"/>
  <c r="X38" i="9"/>
  <c r="AC37" i="9"/>
  <c r="AB37" i="9"/>
  <c r="AA37" i="9"/>
  <c r="Z37" i="9"/>
  <c r="Y37" i="9"/>
  <c r="X37" i="9"/>
  <c r="AC36" i="9"/>
  <c r="AB36" i="9"/>
  <c r="AA36" i="9"/>
  <c r="Z36" i="9"/>
  <c r="Y36" i="9"/>
  <c r="X36" i="9"/>
  <c r="AC35" i="9"/>
  <c r="AB35" i="9"/>
  <c r="AA35" i="9"/>
  <c r="Z35" i="9"/>
  <c r="Y35" i="9"/>
  <c r="X35" i="9"/>
  <c r="AC34" i="9"/>
  <c r="AB34" i="9"/>
  <c r="AA34" i="9"/>
  <c r="Z34" i="9"/>
  <c r="Y34" i="9"/>
  <c r="X34" i="9"/>
  <c r="AC33" i="9"/>
  <c r="AB33" i="9"/>
  <c r="AA33" i="9"/>
  <c r="Z33" i="9"/>
  <c r="Y33" i="9"/>
  <c r="X33" i="9"/>
  <c r="AC32" i="9"/>
  <c r="AB32" i="9"/>
  <c r="AA32" i="9"/>
  <c r="Z32" i="9"/>
  <c r="Y32" i="9"/>
  <c r="X32" i="9"/>
  <c r="AC31" i="9"/>
  <c r="AB31" i="9"/>
  <c r="AA31" i="9"/>
  <c r="Z31" i="9"/>
  <c r="Y31" i="9"/>
  <c r="X31" i="9"/>
  <c r="AC30" i="9"/>
  <c r="AB30" i="9"/>
  <c r="AA30" i="9"/>
  <c r="Z30" i="9"/>
  <c r="Y30" i="9"/>
  <c r="X30" i="9"/>
  <c r="AC29" i="9"/>
  <c r="AB29" i="9"/>
  <c r="AA29" i="9"/>
  <c r="Z29" i="9"/>
  <c r="Y29" i="9"/>
  <c r="X29" i="9"/>
  <c r="R50" i="9"/>
  <c r="Q50" i="9"/>
  <c r="P50" i="9"/>
  <c r="O50" i="9"/>
  <c r="N50" i="9"/>
  <c r="M50" i="9"/>
  <c r="R49" i="9"/>
  <c r="Q49" i="9"/>
  <c r="P49" i="9"/>
  <c r="O49" i="9"/>
  <c r="N49" i="9"/>
  <c r="M49" i="9"/>
  <c r="R48" i="9"/>
  <c r="Q48" i="9"/>
  <c r="P48" i="9"/>
  <c r="O48" i="9"/>
  <c r="N48" i="9"/>
  <c r="M48" i="9"/>
  <c r="R47" i="9"/>
  <c r="Q47" i="9"/>
  <c r="P47" i="9"/>
  <c r="O47" i="9"/>
  <c r="N47" i="9"/>
  <c r="M47" i="9"/>
  <c r="R46" i="9"/>
  <c r="Q46" i="9"/>
  <c r="P46" i="9"/>
  <c r="O46" i="9"/>
  <c r="N46" i="9"/>
  <c r="M46" i="9"/>
  <c r="R45" i="9"/>
  <c r="Q45" i="9"/>
  <c r="P45" i="9"/>
  <c r="O45" i="9"/>
  <c r="N45" i="9"/>
  <c r="M45" i="9"/>
  <c r="R44" i="9"/>
  <c r="Q44" i="9"/>
  <c r="P44" i="9"/>
  <c r="O44" i="9"/>
  <c r="N44" i="9"/>
  <c r="M44" i="9"/>
  <c r="R43" i="9"/>
  <c r="Q43" i="9"/>
  <c r="P43" i="9"/>
  <c r="O43" i="9"/>
  <c r="N43" i="9"/>
  <c r="M43" i="9"/>
  <c r="R42" i="9"/>
  <c r="Q42" i="9"/>
  <c r="P42" i="9"/>
  <c r="O42" i="9"/>
  <c r="N42" i="9"/>
  <c r="M42" i="9"/>
  <c r="R41" i="9"/>
  <c r="Q41" i="9"/>
  <c r="P41" i="9"/>
  <c r="O41" i="9"/>
  <c r="N41" i="9"/>
  <c r="M41" i="9"/>
  <c r="R40" i="9"/>
  <c r="Q40" i="9"/>
  <c r="P40" i="9"/>
  <c r="O40" i="9"/>
  <c r="N40" i="9"/>
  <c r="M40" i="9"/>
  <c r="R39" i="9"/>
  <c r="Q39" i="9"/>
  <c r="P39" i="9"/>
  <c r="O39" i="9"/>
  <c r="N39" i="9"/>
  <c r="M39" i="9"/>
  <c r="R38" i="9"/>
  <c r="Q38" i="9"/>
  <c r="P38" i="9"/>
  <c r="O38" i="9"/>
  <c r="N38" i="9"/>
  <c r="M38" i="9"/>
  <c r="R37" i="9"/>
  <c r="Q37" i="9"/>
  <c r="P37" i="9"/>
  <c r="O37" i="9"/>
  <c r="N37" i="9"/>
  <c r="M37" i="9"/>
  <c r="R36" i="9"/>
  <c r="Q36" i="9"/>
  <c r="P36" i="9"/>
  <c r="O36" i="9"/>
  <c r="N36" i="9"/>
  <c r="M36" i="9"/>
  <c r="R35" i="9"/>
  <c r="Q35" i="9"/>
  <c r="P35" i="9"/>
  <c r="O35" i="9"/>
  <c r="N35" i="9"/>
  <c r="M35" i="9"/>
  <c r="R34" i="9"/>
  <c r="Q34" i="9"/>
  <c r="P34" i="9"/>
  <c r="O34" i="9"/>
  <c r="N34" i="9"/>
  <c r="M34" i="9"/>
  <c r="R33" i="9"/>
  <c r="Q33" i="9"/>
  <c r="P33" i="9"/>
  <c r="O33" i="9"/>
  <c r="N33" i="9"/>
  <c r="M33" i="9"/>
  <c r="R32" i="9"/>
  <c r="Q32" i="9"/>
  <c r="P32" i="9"/>
  <c r="O32" i="9"/>
  <c r="N32" i="9"/>
  <c r="M32" i="9"/>
  <c r="R31" i="9"/>
  <c r="Q31" i="9"/>
  <c r="P31" i="9"/>
  <c r="O31" i="9"/>
  <c r="N31" i="9"/>
  <c r="M31" i="9"/>
  <c r="R30" i="9"/>
  <c r="Q30" i="9"/>
  <c r="P30" i="9"/>
  <c r="O30" i="9"/>
  <c r="N30" i="9"/>
  <c r="M30" i="9"/>
  <c r="R29" i="9"/>
  <c r="Q29" i="9"/>
  <c r="O29" i="9"/>
  <c r="N29" i="9"/>
  <c r="M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29" i="9"/>
  <c r="L4" i="4" l="1"/>
  <c r="K4" i="4"/>
  <c r="K8" i="4"/>
  <c r="L8" i="4"/>
  <c r="K7" i="4"/>
  <c r="AD42" i="7"/>
  <c r="AE42" i="7"/>
  <c r="AC42" i="7"/>
  <c r="AD41" i="7"/>
  <c r="AE41" i="7"/>
  <c r="AC41" i="7"/>
  <c r="P38" i="7" l="1"/>
  <c r="P37" i="2"/>
  <c r="N54" i="2"/>
  <c r="C36" i="7"/>
  <c r="M54" i="8"/>
  <c r="L54" i="8"/>
  <c r="L33" i="8" s="1"/>
  <c r="K54" i="8"/>
  <c r="K33" i="8" s="1"/>
  <c r="J54" i="8"/>
  <c r="J33" i="8" s="1"/>
  <c r="I54" i="8"/>
  <c r="H54" i="8"/>
  <c r="H33" i="8" s="1"/>
  <c r="G54" i="8"/>
  <c r="G33" i="8" s="1"/>
  <c r="F54" i="8"/>
  <c r="F33" i="8" s="1"/>
  <c r="E54" i="8"/>
  <c r="D54" i="8"/>
  <c r="D33" i="8" s="1"/>
  <c r="M53" i="8"/>
  <c r="M32" i="8" s="1"/>
  <c r="L53" i="8"/>
  <c r="L32" i="8" s="1"/>
  <c r="K53" i="8"/>
  <c r="J53" i="8"/>
  <c r="J32" i="8" s="1"/>
  <c r="I53" i="8"/>
  <c r="I32" i="8" s="1"/>
  <c r="H53" i="8"/>
  <c r="H32" i="8" s="1"/>
  <c r="G53" i="8"/>
  <c r="F53" i="8"/>
  <c r="F32" i="8" s="1"/>
  <c r="E53" i="8"/>
  <c r="E32" i="8" s="1"/>
  <c r="D53" i="8"/>
  <c r="D32" i="8" s="1"/>
  <c r="M52" i="8"/>
  <c r="L52" i="8"/>
  <c r="L31" i="8" s="1"/>
  <c r="K52" i="8"/>
  <c r="K31" i="8" s="1"/>
  <c r="J52" i="8"/>
  <c r="J31" i="8" s="1"/>
  <c r="I52" i="8"/>
  <c r="H52" i="8"/>
  <c r="H31" i="8" s="1"/>
  <c r="G52" i="8"/>
  <c r="G31" i="8" s="1"/>
  <c r="F52" i="8"/>
  <c r="F31" i="8" s="1"/>
  <c r="E52" i="8"/>
  <c r="D52" i="8"/>
  <c r="D31" i="8" s="1"/>
  <c r="M51" i="8"/>
  <c r="M30" i="8" s="1"/>
  <c r="L51" i="8"/>
  <c r="L30" i="8" s="1"/>
  <c r="K51" i="8"/>
  <c r="J51" i="8"/>
  <c r="J30" i="8" s="1"/>
  <c r="I51" i="8"/>
  <c r="I30" i="8" s="1"/>
  <c r="H51" i="8"/>
  <c r="H30" i="8" s="1"/>
  <c r="G51" i="8"/>
  <c r="F51" i="8"/>
  <c r="F30" i="8" s="1"/>
  <c r="E51" i="8"/>
  <c r="E30" i="8" s="1"/>
  <c r="D51" i="8"/>
  <c r="D30" i="8" s="1"/>
  <c r="M50" i="8"/>
  <c r="L50" i="8"/>
  <c r="K50" i="8"/>
  <c r="J50" i="8"/>
  <c r="J29" i="8" s="1"/>
  <c r="I50" i="8"/>
  <c r="H50" i="8"/>
  <c r="G50" i="8"/>
  <c r="F50" i="8"/>
  <c r="F29" i="8" s="1"/>
  <c r="E50" i="8"/>
  <c r="D50" i="8"/>
  <c r="D29" i="8" s="1"/>
  <c r="M49" i="8"/>
  <c r="M28" i="8" s="1"/>
  <c r="L49" i="8"/>
  <c r="L28" i="8" s="1"/>
  <c r="K49" i="8"/>
  <c r="J49" i="8"/>
  <c r="I49" i="8"/>
  <c r="I28" i="8" s="1"/>
  <c r="H49" i="8"/>
  <c r="H28" i="8" s="1"/>
  <c r="G49" i="8"/>
  <c r="F49" i="8"/>
  <c r="E49" i="8"/>
  <c r="E28" i="8" s="1"/>
  <c r="D49" i="8"/>
  <c r="D28" i="8" s="1"/>
  <c r="M48" i="8"/>
  <c r="L48" i="8"/>
  <c r="K48" i="8"/>
  <c r="J48" i="8"/>
  <c r="J27" i="8" s="1"/>
  <c r="I48" i="8"/>
  <c r="H48" i="8"/>
  <c r="H27" i="8" s="1"/>
  <c r="G48" i="8"/>
  <c r="G27" i="8" s="1"/>
  <c r="F48" i="8"/>
  <c r="F27" i="8" s="1"/>
  <c r="E48" i="8"/>
  <c r="D48" i="8"/>
  <c r="M47" i="8"/>
  <c r="M26" i="8" s="1"/>
  <c r="L47" i="8"/>
  <c r="L26" i="8" s="1"/>
  <c r="K47" i="8"/>
  <c r="J47" i="8"/>
  <c r="I47" i="8"/>
  <c r="I26" i="8" s="1"/>
  <c r="H47" i="8"/>
  <c r="H26" i="8" s="1"/>
  <c r="G47" i="8"/>
  <c r="F47" i="8"/>
  <c r="E47" i="8"/>
  <c r="E26" i="8" s="1"/>
  <c r="D47" i="8"/>
  <c r="D26" i="8" s="1"/>
  <c r="M46" i="8"/>
  <c r="L46" i="8"/>
  <c r="L25" i="8" s="1"/>
  <c r="K46" i="8"/>
  <c r="K25" i="8" s="1"/>
  <c r="J46" i="8"/>
  <c r="J25" i="8" s="1"/>
  <c r="I46" i="8"/>
  <c r="H46" i="8"/>
  <c r="H25" i="8" s="1"/>
  <c r="G46" i="8"/>
  <c r="G25" i="8" s="1"/>
  <c r="F46" i="8"/>
  <c r="F25" i="8" s="1"/>
  <c r="E46" i="8"/>
  <c r="D46" i="8"/>
  <c r="M45" i="8"/>
  <c r="M24" i="8" s="1"/>
  <c r="L45" i="8"/>
  <c r="L24" i="8" s="1"/>
  <c r="K45" i="8"/>
  <c r="J45" i="8"/>
  <c r="J24" i="8" s="1"/>
  <c r="I45" i="8"/>
  <c r="I24" i="8" s="1"/>
  <c r="H45" i="8"/>
  <c r="H24" i="8" s="1"/>
  <c r="G45" i="8"/>
  <c r="F45" i="8"/>
  <c r="E45" i="8"/>
  <c r="E24" i="8" s="1"/>
  <c r="D45" i="8"/>
  <c r="D24" i="8" s="1"/>
  <c r="M44" i="8"/>
  <c r="L44" i="8"/>
  <c r="K44" i="8"/>
  <c r="K23" i="8" s="1"/>
  <c r="J44" i="8"/>
  <c r="J23" i="8" s="1"/>
  <c r="I44" i="8"/>
  <c r="H44" i="8"/>
  <c r="G44" i="8"/>
  <c r="G23" i="8" s="1"/>
  <c r="F44" i="8"/>
  <c r="F23" i="8" s="1"/>
  <c r="E44" i="8"/>
  <c r="D44" i="8"/>
  <c r="M43" i="8"/>
  <c r="M22" i="8" s="1"/>
  <c r="L43" i="8"/>
  <c r="L22" i="8" s="1"/>
  <c r="K43" i="8"/>
  <c r="J43" i="8"/>
  <c r="I43" i="8"/>
  <c r="I22" i="8" s="1"/>
  <c r="H43" i="8"/>
  <c r="H22" i="8" s="1"/>
  <c r="G43" i="8"/>
  <c r="F43" i="8"/>
  <c r="E43" i="8"/>
  <c r="E22" i="8" s="1"/>
  <c r="D43" i="8"/>
  <c r="D22" i="8" s="1"/>
  <c r="M42" i="8"/>
  <c r="L42" i="8"/>
  <c r="L21" i="8" s="1"/>
  <c r="K42" i="8"/>
  <c r="K21" i="8" s="1"/>
  <c r="J42" i="8"/>
  <c r="J21" i="8" s="1"/>
  <c r="I42" i="8"/>
  <c r="H42" i="8"/>
  <c r="G42" i="8"/>
  <c r="G21" i="8" s="1"/>
  <c r="F42" i="8"/>
  <c r="F21" i="8" s="1"/>
  <c r="E42" i="8"/>
  <c r="D42" i="8"/>
  <c r="D21" i="8" s="1"/>
  <c r="M41" i="8"/>
  <c r="M20" i="8" s="1"/>
  <c r="L41" i="8"/>
  <c r="L20" i="8" s="1"/>
  <c r="K41" i="8"/>
  <c r="J41" i="8"/>
  <c r="J20" i="8" s="1"/>
  <c r="I41" i="8"/>
  <c r="I20" i="8" s="1"/>
  <c r="H41" i="8"/>
  <c r="H20" i="8" s="1"/>
  <c r="G41" i="8"/>
  <c r="F41" i="8"/>
  <c r="F20" i="8" s="1"/>
  <c r="E41" i="8"/>
  <c r="D41" i="8"/>
  <c r="D20" i="8" s="1"/>
  <c r="M40" i="8"/>
  <c r="L40" i="8"/>
  <c r="L19" i="8" s="1"/>
  <c r="K40" i="8"/>
  <c r="K19" i="8" s="1"/>
  <c r="J40" i="8"/>
  <c r="J19" i="8" s="1"/>
  <c r="I40" i="8"/>
  <c r="H40" i="8"/>
  <c r="H19" i="8" s="1"/>
  <c r="G40" i="8"/>
  <c r="F40" i="8"/>
  <c r="F19" i="8" s="1"/>
  <c r="E40" i="8"/>
  <c r="D40" i="8"/>
  <c r="D19" i="8" s="1"/>
  <c r="N39" i="8"/>
  <c r="M39" i="8"/>
  <c r="M18" i="8" s="1"/>
  <c r="L39" i="8"/>
  <c r="K39" i="8"/>
  <c r="K18" i="8" s="1"/>
  <c r="J39" i="8"/>
  <c r="J18" i="8" s="1"/>
  <c r="I39" i="8"/>
  <c r="I18" i="8" s="1"/>
  <c r="H39" i="8"/>
  <c r="G39" i="8"/>
  <c r="G18" i="8" s="1"/>
  <c r="F39" i="8"/>
  <c r="F18" i="8" s="1"/>
  <c r="E39" i="8"/>
  <c r="E18" i="8" s="1"/>
  <c r="D39" i="8"/>
  <c r="N38" i="8"/>
  <c r="M38" i="8"/>
  <c r="M17" i="8" s="1"/>
  <c r="L38" i="8"/>
  <c r="K38" i="8"/>
  <c r="J38" i="8"/>
  <c r="J17" i="8" s="1"/>
  <c r="I38" i="8"/>
  <c r="I17" i="8" s="1"/>
  <c r="H38" i="8"/>
  <c r="H17" i="8" s="1"/>
  <c r="G38" i="8"/>
  <c r="F38" i="8"/>
  <c r="F17" i="8" s="1"/>
  <c r="E38" i="8"/>
  <c r="E17" i="8" s="1"/>
  <c r="D38" i="8"/>
  <c r="D17" i="8" s="1"/>
  <c r="N37" i="8"/>
  <c r="M37" i="8"/>
  <c r="M16" i="8" s="1"/>
  <c r="L37" i="8"/>
  <c r="K37" i="8"/>
  <c r="K16" i="8" s="1"/>
  <c r="J37" i="8"/>
  <c r="I37" i="8"/>
  <c r="I16" i="8" s="1"/>
  <c r="I9" i="8" s="1"/>
  <c r="H37" i="8"/>
  <c r="G37" i="8"/>
  <c r="G16" i="8" s="1"/>
  <c r="F37" i="8"/>
  <c r="E37" i="8"/>
  <c r="E16" i="8" s="1"/>
  <c r="D37" i="8"/>
  <c r="D16" i="8" s="1"/>
  <c r="N36" i="8"/>
  <c r="C36" i="8"/>
  <c r="M33" i="8"/>
  <c r="I33" i="8"/>
  <c r="E33" i="8"/>
  <c r="K32" i="8"/>
  <c r="G32" i="8"/>
  <c r="M31" i="8"/>
  <c r="I31" i="8"/>
  <c r="E31" i="8"/>
  <c r="K30" i="8"/>
  <c r="G30" i="8"/>
  <c r="M29" i="8"/>
  <c r="L29" i="8"/>
  <c r="K29" i="8"/>
  <c r="I29" i="8"/>
  <c r="H29" i="8"/>
  <c r="G29" i="8"/>
  <c r="E29" i="8"/>
  <c r="K28" i="8"/>
  <c r="J28" i="8"/>
  <c r="G28" i="8"/>
  <c r="F28" i="8"/>
  <c r="M27" i="8"/>
  <c r="L27" i="8"/>
  <c r="K27" i="8"/>
  <c r="I27" i="8"/>
  <c r="E27" i="8"/>
  <c r="D27" i="8"/>
  <c r="K26" i="8"/>
  <c r="J26" i="8"/>
  <c r="G26" i="8"/>
  <c r="F26" i="8"/>
  <c r="M25" i="8"/>
  <c r="I25" i="8"/>
  <c r="E25" i="8"/>
  <c r="D25" i="8"/>
  <c r="K24" i="8"/>
  <c r="G24" i="8"/>
  <c r="F24" i="8"/>
  <c r="M23" i="8"/>
  <c r="L23" i="8"/>
  <c r="I23" i="8"/>
  <c r="H23" i="8"/>
  <c r="E23" i="8"/>
  <c r="D23" i="8"/>
  <c r="K22" i="8"/>
  <c r="J22" i="8"/>
  <c r="G22" i="8"/>
  <c r="F22" i="8"/>
  <c r="M21" i="8"/>
  <c r="I21" i="8"/>
  <c r="H21" i="8"/>
  <c r="E21" i="8"/>
  <c r="K20" i="8"/>
  <c r="G20" i="8"/>
  <c r="M19" i="8"/>
  <c r="I19" i="8"/>
  <c r="E19" i="8"/>
  <c r="L18" i="8"/>
  <c r="H18" i="8"/>
  <c r="D18" i="8"/>
  <c r="K17" i="8"/>
  <c r="G17" i="8"/>
  <c r="J16" i="8"/>
  <c r="F16" i="8"/>
  <c r="M54" i="7"/>
  <c r="M33" i="7" s="1"/>
  <c r="L54" i="7"/>
  <c r="L33" i="7" s="1"/>
  <c r="K54" i="7"/>
  <c r="K33" i="7" s="1"/>
  <c r="J54" i="7"/>
  <c r="J33" i="7" s="1"/>
  <c r="I54" i="7"/>
  <c r="I33" i="7" s="1"/>
  <c r="H54" i="7"/>
  <c r="H33" i="7" s="1"/>
  <c r="G54" i="7"/>
  <c r="G33" i="7" s="1"/>
  <c r="F54" i="7"/>
  <c r="F33" i="7" s="1"/>
  <c r="E54" i="7"/>
  <c r="E33" i="7" s="1"/>
  <c r="D54" i="7"/>
  <c r="D33" i="7" s="1"/>
  <c r="M53" i="7"/>
  <c r="M32" i="7" s="1"/>
  <c r="L53" i="7"/>
  <c r="L32" i="7" s="1"/>
  <c r="K53" i="7"/>
  <c r="K32" i="7" s="1"/>
  <c r="J53" i="7"/>
  <c r="J32" i="7" s="1"/>
  <c r="I53" i="7"/>
  <c r="I32" i="7" s="1"/>
  <c r="H53" i="7"/>
  <c r="H32" i="7" s="1"/>
  <c r="G53" i="7"/>
  <c r="G32" i="7" s="1"/>
  <c r="F53" i="7"/>
  <c r="F32" i="7" s="1"/>
  <c r="E53" i="7"/>
  <c r="E32" i="7" s="1"/>
  <c r="D53" i="7"/>
  <c r="D32" i="7" s="1"/>
  <c r="M52" i="7"/>
  <c r="M31" i="7" s="1"/>
  <c r="L52" i="7"/>
  <c r="L31" i="7" s="1"/>
  <c r="K52" i="7"/>
  <c r="K31" i="7" s="1"/>
  <c r="J52" i="7"/>
  <c r="J31" i="7" s="1"/>
  <c r="I52" i="7"/>
  <c r="I31" i="7" s="1"/>
  <c r="H52" i="7"/>
  <c r="H31" i="7" s="1"/>
  <c r="G52" i="7"/>
  <c r="G31" i="7" s="1"/>
  <c r="F52" i="7"/>
  <c r="F31" i="7" s="1"/>
  <c r="E52" i="7"/>
  <c r="E31" i="7" s="1"/>
  <c r="D52" i="7"/>
  <c r="D31" i="7" s="1"/>
  <c r="M51" i="7"/>
  <c r="M30" i="7" s="1"/>
  <c r="L51" i="7"/>
  <c r="L30" i="7" s="1"/>
  <c r="K51" i="7"/>
  <c r="K30" i="7" s="1"/>
  <c r="J51" i="7"/>
  <c r="J30" i="7" s="1"/>
  <c r="I51" i="7"/>
  <c r="I30" i="7" s="1"/>
  <c r="H51" i="7"/>
  <c r="H30" i="7" s="1"/>
  <c r="G51" i="7"/>
  <c r="G30" i="7" s="1"/>
  <c r="F51" i="7"/>
  <c r="F30" i="7" s="1"/>
  <c r="E51" i="7"/>
  <c r="E30" i="7" s="1"/>
  <c r="D51" i="7"/>
  <c r="D30" i="7" s="1"/>
  <c r="M50" i="7"/>
  <c r="M29" i="7" s="1"/>
  <c r="L50" i="7"/>
  <c r="K50" i="7"/>
  <c r="J50" i="7"/>
  <c r="J29" i="7" s="1"/>
  <c r="I50" i="7"/>
  <c r="I29" i="7" s="1"/>
  <c r="H50" i="7"/>
  <c r="G50" i="7"/>
  <c r="F50" i="7"/>
  <c r="F29" i="7" s="1"/>
  <c r="E50" i="7"/>
  <c r="E29" i="7" s="1"/>
  <c r="D50" i="7"/>
  <c r="D29" i="7" s="1"/>
  <c r="M49" i="7"/>
  <c r="M28" i="7" s="1"/>
  <c r="L49" i="7"/>
  <c r="L28" i="7" s="1"/>
  <c r="K49" i="7"/>
  <c r="K28" i="7" s="1"/>
  <c r="J49" i="7"/>
  <c r="I49" i="7"/>
  <c r="I28" i="7" s="1"/>
  <c r="H49" i="7"/>
  <c r="H28" i="7" s="1"/>
  <c r="G49" i="7"/>
  <c r="G28" i="7" s="1"/>
  <c r="F49" i="7"/>
  <c r="E49" i="7"/>
  <c r="E28" i="7" s="1"/>
  <c r="D49" i="7"/>
  <c r="D28" i="7" s="1"/>
  <c r="M48" i="7"/>
  <c r="M27" i="7" s="1"/>
  <c r="L48" i="7"/>
  <c r="K48" i="7"/>
  <c r="J48" i="7"/>
  <c r="J27" i="7" s="1"/>
  <c r="I48" i="7"/>
  <c r="I27" i="7" s="1"/>
  <c r="H48" i="7"/>
  <c r="H27" i="7" s="1"/>
  <c r="G48" i="7"/>
  <c r="G27" i="7" s="1"/>
  <c r="F48" i="7"/>
  <c r="F27" i="7" s="1"/>
  <c r="E48" i="7"/>
  <c r="E27" i="7" s="1"/>
  <c r="D48" i="7"/>
  <c r="M47" i="7"/>
  <c r="M26" i="7" s="1"/>
  <c r="L47" i="7"/>
  <c r="L26" i="7" s="1"/>
  <c r="K47" i="7"/>
  <c r="K26" i="7" s="1"/>
  <c r="J47" i="7"/>
  <c r="I47" i="7"/>
  <c r="I26" i="7" s="1"/>
  <c r="H47" i="7"/>
  <c r="H26" i="7" s="1"/>
  <c r="G47" i="7"/>
  <c r="G26" i="7" s="1"/>
  <c r="F47" i="7"/>
  <c r="E47" i="7"/>
  <c r="E26" i="7" s="1"/>
  <c r="D47" i="7"/>
  <c r="D26" i="7" s="1"/>
  <c r="M46" i="7"/>
  <c r="M25" i="7" s="1"/>
  <c r="L46" i="7"/>
  <c r="L25" i="7" s="1"/>
  <c r="K46" i="7"/>
  <c r="K25" i="7" s="1"/>
  <c r="J46" i="7"/>
  <c r="J25" i="7" s="1"/>
  <c r="I46" i="7"/>
  <c r="I25" i="7" s="1"/>
  <c r="H46" i="7"/>
  <c r="G46" i="7"/>
  <c r="G25" i="7" s="1"/>
  <c r="F46" i="7"/>
  <c r="F25" i="7" s="1"/>
  <c r="E46" i="7"/>
  <c r="E25" i="7" s="1"/>
  <c r="D46" i="7"/>
  <c r="M45" i="7"/>
  <c r="M24" i="7" s="1"/>
  <c r="L45" i="7"/>
  <c r="L24" i="7" s="1"/>
  <c r="K45" i="7"/>
  <c r="K24" i="7" s="1"/>
  <c r="J45" i="7"/>
  <c r="J24" i="7" s="1"/>
  <c r="I45" i="7"/>
  <c r="I24" i="7" s="1"/>
  <c r="H45" i="7"/>
  <c r="H24" i="7" s="1"/>
  <c r="G45" i="7"/>
  <c r="G24" i="7" s="1"/>
  <c r="F45" i="7"/>
  <c r="E45" i="7"/>
  <c r="E24" i="7" s="1"/>
  <c r="D45" i="7"/>
  <c r="D24" i="7" s="1"/>
  <c r="M44" i="7"/>
  <c r="M23" i="7" s="1"/>
  <c r="L44" i="7"/>
  <c r="K44" i="7"/>
  <c r="K23" i="7" s="1"/>
  <c r="J44" i="7"/>
  <c r="J23" i="7" s="1"/>
  <c r="I44" i="7"/>
  <c r="I23" i="7" s="1"/>
  <c r="H44" i="7"/>
  <c r="G44" i="7"/>
  <c r="G23" i="7" s="1"/>
  <c r="F44" i="7"/>
  <c r="F23" i="7" s="1"/>
  <c r="E44" i="7"/>
  <c r="E23" i="7" s="1"/>
  <c r="D44" i="7"/>
  <c r="M43" i="7"/>
  <c r="M22" i="7" s="1"/>
  <c r="L43" i="7"/>
  <c r="L22" i="7" s="1"/>
  <c r="K43" i="7"/>
  <c r="K22" i="7" s="1"/>
  <c r="J43" i="7"/>
  <c r="I43" i="7"/>
  <c r="I22" i="7" s="1"/>
  <c r="H43" i="7"/>
  <c r="H22" i="7" s="1"/>
  <c r="G43" i="7"/>
  <c r="G22" i="7" s="1"/>
  <c r="F43" i="7"/>
  <c r="E43" i="7"/>
  <c r="E22" i="7" s="1"/>
  <c r="D43" i="7"/>
  <c r="D22" i="7" s="1"/>
  <c r="M42" i="7"/>
  <c r="M21" i="7" s="1"/>
  <c r="L42" i="7"/>
  <c r="L21" i="7" s="1"/>
  <c r="K42" i="7"/>
  <c r="K21" i="7" s="1"/>
  <c r="J42" i="7"/>
  <c r="J21" i="7" s="1"/>
  <c r="I42" i="7"/>
  <c r="I21" i="7" s="1"/>
  <c r="H42" i="7"/>
  <c r="G42" i="7"/>
  <c r="G21" i="7" s="1"/>
  <c r="F42" i="7"/>
  <c r="F21" i="7" s="1"/>
  <c r="E42" i="7"/>
  <c r="E21" i="7" s="1"/>
  <c r="D42" i="7"/>
  <c r="M41" i="7"/>
  <c r="M20" i="7" s="1"/>
  <c r="L41" i="7"/>
  <c r="L20" i="7" s="1"/>
  <c r="K41" i="7"/>
  <c r="K20" i="7" s="1"/>
  <c r="J41" i="7"/>
  <c r="J20" i="7" s="1"/>
  <c r="I41" i="7"/>
  <c r="I20" i="7" s="1"/>
  <c r="H41" i="7"/>
  <c r="H20" i="7" s="1"/>
  <c r="G41" i="7"/>
  <c r="G20" i="7" s="1"/>
  <c r="F41" i="7"/>
  <c r="F20" i="7" s="1"/>
  <c r="E41" i="7"/>
  <c r="D41" i="7"/>
  <c r="D20" i="7" s="1"/>
  <c r="M40" i="7"/>
  <c r="M19" i="7" s="1"/>
  <c r="L40" i="7"/>
  <c r="L19" i="7" s="1"/>
  <c r="K40" i="7"/>
  <c r="J40" i="7"/>
  <c r="I40" i="7"/>
  <c r="I19" i="7" s="1"/>
  <c r="H40" i="7"/>
  <c r="H19" i="7" s="1"/>
  <c r="G40" i="7"/>
  <c r="G19" i="7" s="1"/>
  <c r="F40" i="7"/>
  <c r="E40" i="7"/>
  <c r="E19" i="7" s="1"/>
  <c r="D40" i="7"/>
  <c r="D19" i="7" s="1"/>
  <c r="N39" i="7"/>
  <c r="M39" i="7"/>
  <c r="M18" i="7" s="1"/>
  <c r="L39" i="7"/>
  <c r="L18" i="7" s="1"/>
  <c r="K39" i="7"/>
  <c r="K18" i="7" s="1"/>
  <c r="J39" i="7"/>
  <c r="J18" i="7" s="1"/>
  <c r="I39" i="7"/>
  <c r="I18" i="7" s="1"/>
  <c r="H39" i="7"/>
  <c r="H18" i="7" s="1"/>
  <c r="G39" i="7"/>
  <c r="G18" i="7" s="1"/>
  <c r="F39" i="7"/>
  <c r="F18" i="7" s="1"/>
  <c r="E39" i="7"/>
  <c r="E18" i="7" s="1"/>
  <c r="D39" i="7"/>
  <c r="D18" i="7" s="1"/>
  <c r="N38" i="7"/>
  <c r="M38" i="7"/>
  <c r="L38" i="7"/>
  <c r="L17" i="7" s="1"/>
  <c r="K38" i="7"/>
  <c r="K17" i="7" s="1"/>
  <c r="J38" i="7"/>
  <c r="J17" i="7" s="1"/>
  <c r="I38" i="7"/>
  <c r="I17" i="7" s="1"/>
  <c r="H38" i="7"/>
  <c r="H17" i="7" s="1"/>
  <c r="G38" i="7"/>
  <c r="G17" i="7" s="1"/>
  <c r="F38" i="7"/>
  <c r="F17" i="7" s="1"/>
  <c r="E38" i="7"/>
  <c r="E17" i="7" s="1"/>
  <c r="D38" i="7"/>
  <c r="D17" i="7" s="1"/>
  <c r="N37" i="7"/>
  <c r="M37" i="7"/>
  <c r="M16" i="7" s="1"/>
  <c r="L37" i="7"/>
  <c r="L16" i="7" s="1"/>
  <c r="K37" i="7"/>
  <c r="K16" i="7" s="1"/>
  <c r="J37" i="7"/>
  <c r="J16" i="7" s="1"/>
  <c r="I37" i="7"/>
  <c r="I16" i="7" s="1"/>
  <c r="H37" i="7"/>
  <c r="H16" i="7" s="1"/>
  <c r="G37" i="7"/>
  <c r="G16" i="7" s="1"/>
  <c r="F37" i="7"/>
  <c r="F16" i="7" s="1"/>
  <c r="E37" i="7"/>
  <c r="E16" i="7" s="1"/>
  <c r="D37" i="7"/>
  <c r="D16" i="7" s="1"/>
  <c r="Q36" i="7"/>
  <c r="P36" i="7"/>
  <c r="N36" i="7"/>
  <c r="L29" i="7"/>
  <c r="K29" i="7"/>
  <c r="H29" i="7"/>
  <c r="G29" i="7"/>
  <c r="J28" i="7"/>
  <c r="F28" i="7"/>
  <c r="L27" i="7"/>
  <c r="K27" i="7"/>
  <c r="D27" i="7"/>
  <c r="J26" i="7"/>
  <c r="F26" i="7"/>
  <c r="H25" i="7"/>
  <c r="D25" i="7"/>
  <c r="F24" i="7"/>
  <c r="L23" i="7"/>
  <c r="H23" i="7"/>
  <c r="D23" i="7"/>
  <c r="J22" i="7"/>
  <c r="F22" i="7"/>
  <c r="H21" i="7"/>
  <c r="D21" i="7"/>
  <c r="M17" i="7"/>
  <c r="AD45" i="2"/>
  <c r="AE45" i="2"/>
  <c r="AC45" i="2"/>
  <c r="AD44" i="2"/>
  <c r="AE44" i="2"/>
  <c r="AC44" i="2"/>
  <c r="F3" i="7" l="1"/>
  <c r="J3" i="7"/>
  <c r="K11" i="8"/>
  <c r="I13" i="8"/>
  <c r="M9" i="8"/>
  <c r="D10" i="8"/>
  <c r="G9" i="8"/>
  <c r="K9" i="8"/>
  <c r="H10" i="8"/>
  <c r="D9" i="8"/>
  <c r="J3" i="8"/>
  <c r="L17" i="8"/>
  <c r="L10" i="8" s="1"/>
  <c r="G11" i="8"/>
  <c r="L11" i="8"/>
  <c r="I12" i="8"/>
  <c r="N54" i="8"/>
  <c r="A17" i="8" s="1"/>
  <c r="H3" i="8"/>
  <c r="L3" i="8"/>
  <c r="F11" i="8"/>
  <c r="J11" i="8"/>
  <c r="G3" i="8"/>
  <c r="K12" i="8"/>
  <c r="G10" i="8"/>
  <c r="K10" i="8"/>
  <c r="E11" i="8"/>
  <c r="I11" i="8"/>
  <c r="M11" i="8"/>
  <c r="G13" i="8"/>
  <c r="K13" i="8"/>
  <c r="E3" i="8"/>
  <c r="M3" i="8"/>
  <c r="D12" i="8"/>
  <c r="H12" i="8"/>
  <c r="L12" i="8"/>
  <c r="F9" i="8"/>
  <c r="F4" i="8" s="1"/>
  <c r="J9" i="8"/>
  <c r="F12" i="8"/>
  <c r="J12" i="8"/>
  <c r="D13" i="8"/>
  <c r="H13" i="8"/>
  <c r="L13" i="8"/>
  <c r="H11" i="8"/>
  <c r="E13" i="8"/>
  <c r="M13" i="8"/>
  <c r="I3" i="8"/>
  <c r="F3" i="8"/>
  <c r="H16" i="8"/>
  <c r="H9" i="8" s="1"/>
  <c r="L16" i="8"/>
  <c r="L9" i="8" s="1"/>
  <c r="F13" i="8"/>
  <c r="J13" i="8"/>
  <c r="E10" i="8"/>
  <c r="I10" i="8"/>
  <c r="M10" i="8"/>
  <c r="F10" i="8"/>
  <c r="J10" i="8"/>
  <c r="D11" i="8"/>
  <c r="E12" i="8"/>
  <c r="M12" i="8"/>
  <c r="K3" i="8"/>
  <c r="D3" i="8"/>
  <c r="G19" i="8"/>
  <c r="G12" i="8" s="1"/>
  <c r="E20" i="8"/>
  <c r="E9" i="8" s="1"/>
  <c r="I13" i="7"/>
  <c r="E11" i="7"/>
  <c r="D10" i="7"/>
  <c r="L10" i="7"/>
  <c r="M11" i="7"/>
  <c r="F19" i="7"/>
  <c r="F12" i="7" s="1"/>
  <c r="G9" i="7"/>
  <c r="H10" i="7"/>
  <c r="K9" i="7"/>
  <c r="I11" i="7"/>
  <c r="I10" i="7"/>
  <c r="I12" i="7"/>
  <c r="N54" i="7"/>
  <c r="D2" i="7" s="1"/>
  <c r="H3" i="7"/>
  <c r="L3" i="7"/>
  <c r="F11" i="7"/>
  <c r="J11" i="7"/>
  <c r="G12" i="7"/>
  <c r="K3" i="7"/>
  <c r="G10" i="7"/>
  <c r="K10" i="7"/>
  <c r="G13" i="7"/>
  <c r="K13" i="7"/>
  <c r="H11" i="7"/>
  <c r="M10" i="7"/>
  <c r="H9" i="7"/>
  <c r="L9" i="7"/>
  <c r="J10" i="7"/>
  <c r="L11" i="7"/>
  <c r="J19" i="7"/>
  <c r="J12" i="7" s="1"/>
  <c r="E13" i="7"/>
  <c r="M13" i="7"/>
  <c r="E3" i="7"/>
  <c r="I3" i="7"/>
  <c r="M3" i="7"/>
  <c r="D12" i="7"/>
  <c r="H12" i="7"/>
  <c r="L12" i="7"/>
  <c r="F9" i="7"/>
  <c r="F4" i="7" s="1"/>
  <c r="J9" i="7"/>
  <c r="D13" i="7"/>
  <c r="H13" i="7"/>
  <c r="L13" i="7"/>
  <c r="E10" i="7"/>
  <c r="K11" i="7"/>
  <c r="D9" i="7"/>
  <c r="F10" i="7"/>
  <c r="D11" i="7"/>
  <c r="F13" i="7"/>
  <c r="J13" i="7"/>
  <c r="I9" i="7"/>
  <c r="M9" i="7"/>
  <c r="G11" i="7"/>
  <c r="E12" i="7"/>
  <c r="M12" i="7"/>
  <c r="G3" i="7"/>
  <c r="D3" i="7"/>
  <c r="K19" i="7"/>
  <c r="K12" i="7" s="1"/>
  <c r="E20" i="7"/>
  <c r="E9" i="7" s="1"/>
  <c r="C36" i="6"/>
  <c r="E7" i="8" l="1"/>
  <c r="D6" i="7"/>
  <c r="E6" i="7"/>
  <c r="E5" i="8"/>
  <c r="H4" i="8"/>
  <c r="C13" i="8"/>
  <c r="K8" i="8" s="1"/>
  <c r="J4" i="8"/>
  <c r="G8" i="8"/>
  <c r="I4" i="8"/>
  <c r="H7" i="8"/>
  <c r="A15" i="8"/>
  <c r="F2" i="8"/>
  <c r="H8" i="8"/>
  <c r="H6" i="8"/>
  <c r="D8" i="8"/>
  <c r="F6" i="8"/>
  <c r="F5" i="8"/>
  <c r="G2" i="8"/>
  <c r="F8" i="8"/>
  <c r="J7" i="8"/>
  <c r="J6" i="8"/>
  <c r="D5" i="8"/>
  <c r="A21" i="8"/>
  <c r="J2" i="8"/>
  <c r="K2" i="8"/>
  <c r="I6" i="8"/>
  <c r="I7" i="8"/>
  <c r="H2" i="8"/>
  <c r="J8" i="8"/>
  <c r="D2" i="8"/>
  <c r="E2" i="8"/>
  <c r="A25" i="8"/>
  <c r="L8" i="8"/>
  <c r="I8" i="8"/>
  <c r="L2" i="8"/>
  <c r="G7" i="8"/>
  <c r="I2" i="8"/>
  <c r="M2" i="8"/>
  <c r="A30" i="8"/>
  <c r="E8" i="8"/>
  <c r="G6" i="8"/>
  <c r="G4" i="8"/>
  <c r="E4" i="8"/>
  <c r="D4" i="8"/>
  <c r="C9" i="8"/>
  <c r="C12" i="8"/>
  <c r="F7" i="8"/>
  <c r="D6" i="8"/>
  <c r="C11" i="8"/>
  <c r="E6" i="8"/>
  <c r="D7" i="8"/>
  <c r="C10" i="8"/>
  <c r="C5" i="8" s="1"/>
  <c r="E5" i="7"/>
  <c r="D5" i="7"/>
  <c r="A30" i="7"/>
  <c r="C11" i="7"/>
  <c r="C6" i="7" s="1"/>
  <c r="G6" i="7"/>
  <c r="F5" i="7"/>
  <c r="C10" i="7"/>
  <c r="C5" i="7" s="1"/>
  <c r="H8" i="7"/>
  <c r="A15" i="7"/>
  <c r="F8" i="7"/>
  <c r="F7" i="7"/>
  <c r="I6" i="7"/>
  <c r="I4" i="7"/>
  <c r="A25" i="7"/>
  <c r="E7" i="7"/>
  <c r="E2" i="7"/>
  <c r="H2" i="7"/>
  <c r="I2" i="7"/>
  <c r="M2" i="7"/>
  <c r="A17" i="7"/>
  <c r="J8" i="7"/>
  <c r="F2" i="7"/>
  <c r="G2" i="7"/>
  <c r="A21" i="7"/>
  <c r="J2" i="7"/>
  <c r="K2" i="7"/>
  <c r="J7" i="7"/>
  <c r="J6" i="7"/>
  <c r="I8" i="7"/>
  <c r="H7" i="7"/>
  <c r="E8" i="7"/>
  <c r="C13" i="7"/>
  <c r="G8" i="7"/>
  <c r="G7" i="7"/>
  <c r="D8" i="7"/>
  <c r="J4" i="7"/>
  <c r="L2" i="7"/>
  <c r="H6" i="7"/>
  <c r="I7" i="7"/>
  <c r="G4" i="7"/>
  <c r="E4" i="7"/>
  <c r="C9" i="7"/>
  <c r="D4" i="7"/>
  <c r="F6" i="7"/>
  <c r="H4" i="7"/>
  <c r="C12" i="7"/>
  <c r="D7" i="7"/>
  <c r="M54" i="6"/>
  <c r="L54" i="6"/>
  <c r="L33" i="6" s="1"/>
  <c r="K54" i="6"/>
  <c r="K33" i="6" s="1"/>
  <c r="J54" i="6"/>
  <c r="J33" i="6" s="1"/>
  <c r="I54" i="6"/>
  <c r="H54" i="6"/>
  <c r="G54" i="6"/>
  <c r="G33" i="6" s="1"/>
  <c r="F54" i="6"/>
  <c r="F33" i="6" s="1"/>
  <c r="E54" i="6"/>
  <c r="D54" i="6"/>
  <c r="D33" i="6" s="1"/>
  <c r="M53" i="6"/>
  <c r="M32" i="6" s="1"/>
  <c r="L53" i="6"/>
  <c r="L32" i="6" s="1"/>
  <c r="K53" i="6"/>
  <c r="J53" i="6"/>
  <c r="I53" i="6"/>
  <c r="I32" i="6" s="1"/>
  <c r="H53" i="6"/>
  <c r="H32" i="6" s="1"/>
  <c r="G53" i="6"/>
  <c r="F53" i="6"/>
  <c r="F32" i="6" s="1"/>
  <c r="E53" i="6"/>
  <c r="E32" i="6" s="1"/>
  <c r="D53" i="6"/>
  <c r="D32" i="6" s="1"/>
  <c r="M52" i="6"/>
  <c r="L52" i="6"/>
  <c r="K52" i="6"/>
  <c r="K31" i="6" s="1"/>
  <c r="J52" i="6"/>
  <c r="J31" i="6" s="1"/>
  <c r="I52" i="6"/>
  <c r="H52" i="6"/>
  <c r="H31" i="6" s="1"/>
  <c r="G52" i="6"/>
  <c r="G31" i="6" s="1"/>
  <c r="F52" i="6"/>
  <c r="F31" i="6" s="1"/>
  <c r="E52" i="6"/>
  <c r="D52" i="6"/>
  <c r="M51" i="6"/>
  <c r="M30" i="6" s="1"/>
  <c r="L51" i="6"/>
  <c r="L30" i="6" s="1"/>
  <c r="K51" i="6"/>
  <c r="J51" i="6"/>
  <c r="J30" i="6" s="1"/>
  <c r="I51" i="6"/>
  <c r="I30" i="6" s="1"/>
  <c r="H51" i="6"/>
  <c r="H30" i="6" s="1"/>
  <c r="G51" i="6"/>
  <c r="F51" i="6"/>
  <c r="E51" i="6"/>
  <c r="E30" i="6" s="1"/>
  <c r="D51" i="6"/>
  <c r="D30" i="6" s="1"/>
  <c r="M50" i="6"/>
  <c r="L50" i="6"/>
  <c r="L29" i="6" s="1"/>
  <c r="K50" i="6"/>
  <c r="K29" i="6" s="1"/>
  <c r="J50" i="6"/>
  <c r="J29" i="6" s="1"/>
  <c r="I50" i="6"/>
  <c r="H50" i="6"/>
  <c r="G50" i="6"/>
  <c r="G29" i="6" s="1"/>
  <c r="F50" i="6"/>
  <c r="F29" i="6" s="1"/>
  <c r="E50" i="6"/>
  <c r="D50" i="6"/>
  <c r="M49" i="6"/>
  <c r="M28" i="6" s="1"/>
  <c r="L49" i="6"/>
  <c r="L28" i="6" s="1"/>
  <c r="K49" i="6"/>
  <c r="J49" i="6"/>
  <c r="I49" i="6"/>
  <c r="I28" i="6" s="1"/>
  <c r="H49" i="6"/>
  <c r="H28" i="6" s="1"/>
  <c r="H13" i="6" s="1"/>
  <c r="G49" i="6"/>
  <c r="F49" i="6"/>
  <c r="E49" i="6"/>
  <c r="E28" i="6" s="1"/>
  <c r="D49" i="6"/>
  <c r="D28" i="6" s="1"/>
  <c r="M48" i="6"/>
  <c r="L48" i="6"/>
  <c r="K48" i="6"/>
  <c r="K27" i="6" s="1"/>
  <c r="J48" i="6"/>
  <c r="J27" i="6" s="1"/>
  <c r="I48" i="6"/>
  <c r="H48" i="6"/>
  <c r="G48" i="6"/>
  <c r="G27" i="6" s="1"/>
  <c r="F48" i="6"/>
  <c r="F27" i="6" s="1"/>
  <c r="E48" i="6"/>
  <c r="D48" i="6"/>
  <c r="M47" i="6"/>
  <c r="M26" i="6" s="1"/>
  <c r="L47" i="6"/>
  <c r="L26" i="6" s="1"/>
  <c r="K47" i="6"/>
  <c r="J47" i="6"/>
  <c r="I47" i="6"/>
  <c r="I26" i="6" s="1"/>
  <c r="H47" i="6"/>
  <c r="H26" i="6" s="1"/>
  <c r="G47" i="6"/>
  <c r="F47" i="6"/>
  <c r="E47" i="6"/>
  <c r="E26" i="6" s="1"/>
  <c r="D47" i="6"/>
  <c r="D26" i="6" s="1"/>
  <c r="M46" i="6"/>
  <c r="L46" i="6"/>
  <c r="K46" i="6"/>
  <c r="K25" i="6" s="1"/>
  <c r="J46" i="6"/>
  <c r="J25" i="6" s="1"/>
  <c r="I46" i="6"/>
  <c r="H46" i="6"/>
  <c r="G46" i="6"/>
  <c r="G25" i="6" s="1"/>
  <c r="F46" i="6"/>
  <c r="F25" i="6" s="1"/>
  <c r="E46" i="6"/>
  <c r="D46" i="6"/>
  <c r="M45" i="6"/>
  <c r="M24" i="6" s="1"/>
  <c r="L45" i="6"/>
  <c r="L24" i="6" s="1"/>
  <c r="K45" i="6"/>
  <c r="J45" i="6"/>
  <c r="I45" i="6"/>
  <c r="I24" i="6" s="1"/>
  <c r="H45" i="6"/>
  <c r="H24" i="6" s="1"/>
  <c r="G45" i="6"/>
  <c r="F45" i="6"/>
  <c r="E45" i="6"/>
  <c r="D45" i="6"/>
  <c r="D24" i="6" s="1"/>
  <c r="M44" i="6"/>
  <c r="L44" i="6"/>
  <c r="L23" i="6" s="1"/>
  <c r="K44" i="6"/>
  <c r="K23" i="6" s="1"/>
  <c r="J44" i="6"/>
  <c r="J23" i="6" s="1"/>
  <c r="I44" i="6"/>
  <c r="H44" i="6"/>
  <c r="G44" i="6"/>
  <c r="G23" i="6" s="1"/>
  <c r="F44" i="6"/>
  <c r="F23" i="6" s="1"/>
  <c r="E44" i="6"/>
  <c r="D44" i="6"/>
  <c r="M43" i="6"/>
  <c r="M22" i="6" s="1"/>
  <c r="L43" i="6"/>
  <c r="L22" i="6" s="1"/>
  <c r="K43" i="6"/>
  <c r="J43" i="6"/>
  <c r="I43" i="6"/>
  <c r="I22" i="6" s="1"/>
  <c r="H43" i="6"/>
  <c r="H22" i="6" s="1"/>
  <c r="G43" i="6"/>
  <c r="F43" i="6"/>
  <c r="E43" i="6"/>
  <c r="E22" i="6" s="1"/>
  <c r="D43" i="6"/>
  <c r="D22" i="6" s="1"/>
  <c r="M42" i="6"/>
  <c r="L42" i="6"/>
  <c r="K42" i="6"/>
  <c r="K21" i="6" s="1"/>
  <c r="J42" i="6"/>
  <c r="J21" i="6" s="1"/>
  <c r="I42" i="6"/>
  <c r="H42" i="6"/>
  <c r="G42" i="6"/>
  <c r="G21" i="6" s="1"/>
  <c r="F42" i="6"/>
  <c r="F21" i="6" s="1"/>
  <c r="E42" i="6"/>
  <c r="D42" i="6"/>
  <c r="M41" i="6"/>
  <c r="M20" i="6" s="1"/>
  <c r="L41" i="6"/>
  <c r="L20" i="6" s="1"/>
  <c r="K41" i="6"/>
  <c r="J41" i="6"/>
  <c r="I41" i="6"/>
  <c r="I20" i="6" s="1"/>
  <c r="H41" i="6"/>
  <c r="H20" i="6" s="1"/>
  <c r="G41" i="6"/>
  <c r="F41" i="6"/>
  <c r="E41" i="6"/>
  <c r="E20" i="6" s="1"/>
  <c r="D41" i="6"/>
  <c r="D20" i="6" s="1"/>
  <c r="M40" i="6"/>
  <c r="L40" i="6"/>
  <c r="K40" i="6"/>
  <c r="K19" i="6" s="1"/>
  <c r="J40" i="6"/>
  <c r="J19" i="6" s="1"/>
  <c r="I40" i="6"/>
  <c r="H40" i="6"/>
  <c r="G40" i="6"/>
  <c r="G19" i="6" s="1"/>
  <c r="F40" i="6"/>
  <c r="F19" i="6" s="1"/>
  <c r="E40" i="6"/>
  <c r="D40" i="6"/>
  <c r="N39" i="6"/>
  <c r="M39" i="6"/>
  <c r="M18" i="6" s="1"/>
  <c r="M11" i="6" s="1"/>
  <c r="L39" i="6"/>
  <c r="K39" i="6"/>
  <c r="J39" i="6"/>
  <c r="J18" i="6" s="1"/>
  <c r="I39" i="6"/>
  <c r="I18" i="6" s="1"/>
  <c r="H39" i="6"/>
  <c r="G39" i="6"/>
  <c r="F39" i="6"/>
  <c r="F18" i="6" s="1"/>
  <c r="E39" i="6"/>
  <c r="E18" i="6" s="1"/>
  <c r="D39" i="6"/>
  <c r="N38" i="6"/>
  <c r="M38" i="6"/>
  <c r="M17" i="6" s="1"/>
  <c r="L38" i="6"/>
  <c r="L17" i="6" s="1"/>
  <c r="K38" i="6"/>
  <c r="J38" i="6"/>
  <c r="J17" i="6" s="1"/>
  <c r="I38" i="6"/>
  <c r="I17" i="6" s="1"/>
  <c r="H38" i="6"/>
  <c r="H17" i="6" s="1"/>
  <c r="G38" i="6"/>
  <c r="F38" i="6"/>
  <c r="E38" i="6"/>
  <c r="E17" i="6" s="1"/>
  <c r="D38" i="6"/>
  <c r="D17" i="6" s="1"/>
  <c r="N37" i="6"/>
  <c r="M37" i="6"/>
  <c r="M16" i="6" s="1"/>
  <c r="L37" i="6"/>
  <c r="K37" i="6"/>
  <c r="K3" i="6" s="1"/>
  <c r="J37" i="6"/>
  <c r="I37" i="6"/>
  <c r="I16" i="6" s="1"/>
  <c r="H37" i="6"/>
  <c r="G37" i="6"/>
  <c r="G16" i="6" s="1"/>
  <c r="G9" i="6" s="1"/>
  <c r="F37" i="6"/>
  <c r="E37" i="6"/>
  <c r="D37" i="6"/>
  <c r="N36" i="6"/>
  <c r="M33" i="6"/>
  <c r="I33" i="6"/>
  <c r="H33" i="6"/>
  <c r="E33" i="6"/>
  <c r="K32" i="6"/>
  <c r="J32" i="6"/>
  <c r="G32" i="6"/>
  <c r="M31" i="6"/>
  <c r="L31" i="6"/>
  <c r="I31" i="6"/>
  <c r="E31" i="6"/>
  <c r="D31" i="6"/>
  <c r="K30" i="6"/>
  <c r="G30" i="6"/>
  <c r="F30" i="6"/>
  <c r="M29" i="6"/>
  <c r="I29" i="6"/>
  <c r="H29" i="6"/>
  <c r="E29" i="6"/>
  <c r="D29" i="6"/>
  <c r="K28" i="6"/>
  <c r="K13" i="6" s="1"/>
  <c r="J28" i="6"/>
  <c r="G28" i="6"/>
  <c r="F28" i="6"/>
  <c r="M27" i="6"/>
  <c r="L27" i="6"/>
  <c r="I27" i="6"/>
  <c r="H27" i="6"/>
  <c r="E27" i="6"/>
  <c r="D27" i="6"/>
  <c r="K26" i="6"/>
  <c r="J26" i="6"/>
  <c r="G26" i="6"/>
  <c r="F26" i="6"/>
  <c r="M25" i="6"/>
  <c r="L25" i="6"/>
  <c r="I25" i="6"/>
  <c r="H25" i="6"/>
  <c r="E25" i="6"/>
  <c r="D25" i="6"/>
  <c r="K24" i="6"/>
  <c r="J24" i="6"/>
  <c r="G24" i="6"/>
  <c r="F24" i="6"/>
  <c r="E24" i="6"/>
  <c r="M23" i="6"/>
  <c r="M12" i="6" s="1"/>
  <c r="I23" i="6"/>
  <c r="H23" i="6"/>
  <c r="E23" i="6"/>
  <c r="D23" i="6"/>
  <c r="K22" i="6"/>
  <c r="J22" i="6"/>
  <c r="G22" i="6"/>
  <c r="F22" i="6"/>
  <c r="M21" i="6"/>
  <c r="L21" i="6"/>
  <c r="I21" i="6"/>
  <c r="H21" i="6"/>
  <c r="E21" i="6"/>
  <c r="D21" i="6"/>
  <c r="K20" i="6"/>
  <c r="J20" i="6"/>
  <c r="G20" i="6"/>
  <c r="F20" i="6"/>
  <c r="M19" i="6"/>
  <c r="L19" i="6"/>
  <c r="I19" i="6"/>
  <c r="H19" i="6"/>
  <c r="E19" i="6"/>
  <c r="D19" i="6"/>
  <c r="L18" i="6"/>
  <c r="K18" i="6"/>
  <c r="H18" i="6"/>
  <c r="G18" i="6"/>
  <c r="D18" i="6"/>
  <c r="K17" i="6"/>
  <c r="G17" i="6"/>
  <c r="F17" i="6"/>
  <c r="J16" i="6"/>
  <c r="F16" i="6"/>
  <c r="E16" i="6"/>
  <c r="E9" i="6" s="1"/>
  <c r="C8" i="8" l="1"/>
  <c r="C7" i="8"/>
  <c r="K7" i="8"/>
  <c r="L7" i="8"/>
  <c r="K4" i="8"/>
  <c r="C4" i="8"/>
  <c r="L4" i="8"/>
  <c r="C6" i="8"/>
  <c r="K6" i="8"/>
  <c r="L6" i="8"/>
  <c r="K6" i="7"/>
  <c r="L6" i="7"/>
  <c r="C8" i="7"/>
  <c r="L8" i="7"/>
  <c r="K8" i="7"/>
  <c r="C7" i="7"/>
  <c r="L7" i="7"/>
  <c r="K7" i="7"/>
  <c r="K4" i="7"/>
  <c r="C4" i="7"/>
  <c r="L4" i="7"/>
  <c r="D13" i="6"/>
  <c r="L13" i="6"/>
  <c r="D3" i="6"/>
  <c r="F13" i="6"/>
  <c r="E10" i="6"/>
  <c r="E5" i="6" s="1"/>
  <c r="F11" i="6"/>
  <c r="E13" i="6"/>
  <c r="C13" i="6" s="1"/>
  <c r="G13" i="6"/>
  <c r="G8" i="6" s="1"/>
  <c r="F9" i="6"/>
  <c r="M3" i="6"/>
  <c r="H11" i="6"/>
  <c r="E12" i="6"/>
  <c r="J13" i="6"/>
  <c r="L10" i="6"/>
  <c r="J12" i="6"/>
  <c r="L11" i="6"/>
  <c r="I13" i="6"/>
  <c r="I8" i="6" s="1"/>
  <c r="I12" i="6"/>
  <c r="G4" i="6"/>
  <c r="D10" i="6"/>
  <c r="H10" i="6"/>
  <c r="E11" i="6"/>
  <c r="I11" i="6"/>
  <c r="F12" i="6"/>
  <c r="D11" i="6"/>
  <c r="K11" i="6"/>
  <c r="H12" i="6"/>
  <c r="H7" i="6" s="1"/>
  <c r="I10" i="6"/>
  <c r="M10" i="6"/>
  <c r="F3" i="6"/>
  <c r="J11" i="6"/>
  <c r="G10" i="6"/>
  <c r="K10" i="6"/>
  <c r="M13" i="6"/>
  <c r="G3" i="6"/>
  <c r="G11" i="6"/>
  <c r="J9" i="6"/>
  <c r="F4" i="6"/>
  <c r="D8" i="6"/>
  <c r="J8" i="6"/>
  <c r="I3" i="6"/>
  <c r="N54" i="6"/>
  <c r="A30" i="6" s="1"/>
  <c r="H3" i="6"/>
  <c r="L3" i="6"/>
  <c r="G12" i="6"/>
  <c r="E3" i="6"/>
  <c r="K16" i="6"/>
  <c r="K9" i="6" s="1"/>
  <c r="D12" i="6"/>
  <c r="L12" i="6"/>
  <c r="I9" i="6"/>
  <c r="M9" i="6"/>
  <c r="K12" i="6"/>
  <c r="J3" i="6"/>
  <c r="D16" i="6"/>
  <c r="D9" i="6" s="1"/>
  <c r="H16" i="6"/>
  <c r="H9" i="6" s="1"/>
  <c r="L16" i="6"/>
  <c r="L9" i="6" s="1"/>
  <c r="F10" i="6"/>
  <c r="F5" i="6" s="1"/>
  <c r="J10" i="6"/>
  <c r="E4" i="6" l="1"/>
  <c r="D4" i="6"/>
  <c r="K8" i="6"/>
  <c r="C8" i="6"/>
  <c r="D5" i="6"/>
  <c r="J6" i="6"/>
  <c r="E6" i="6"/>
  <c r="H8" i="6"/>
  <c r="G6" i="6"/>
  <c r="F8" i="6"/>
  <c r="G7" i="6"/>
  <c r="C11" i="6"/>
  <c r="C6" i="6" s="1"/>
  <c r="E8" i="6"/>
  <c r="D6" i="6"/>
  <c r="F6" i="6"/>
  <c r="I7" i="6"/>
  <c r="I4" i="6"/>
  <c r="C10" i="6"/>
  <c r="C5" i="6" s="1"/>
  <c r="I6" i="6"/>
  <c r="J7" i="6"/>
  <c r="H6" i="6"/>
  <c r="J2" i="6"/>
  <c r="F2" i="6"/>
  <c r="K2" i="6"/>
  <c r="E2" i="6"/>
  <c r="I2" i="6"/>
  <c r="D2" i="6"/>
  <c r="M2" i="6"/>
  <c r="A21" i="6"/>
  <c r="L2" i="6"/>
  <c r="H2" i="6"/>
  <c r="G2" i="6"/>
  <c r="J4" i="6"/>
  <c r="L8" i="6"/>
  <c r="C12" i="6"/>
  <c r="C7" i="6" s="1"/>
  <c r="D7" i="6"/>
  <c r="A15" i="6"/>
  <c r="A25" i="6"/>
  <c r="H4" i="6"/>
  <c r="C9" i="6"/>
  <c r="C4" i="6" s="1"/>
  <c r="E7" i="6"/>
  <c r="A17" i="6"/>
  <c r="F7" i="6"/>
  <c r="M54" i="5"/>
  <c r="L54" i="5"/>
  <c r="L33" i="5" s="1"/>
  <c r="K54" i="5"/>
  <c r="K33" i="5" s="1"/>
  <c r="J54" i="5"/>
  <c r="J33" i="5" s="1"/>
  <c r="I54" i="5"/>
  <c r="H54" i="5"/>
  <c r="H33" i="5" s="1"/>
  <c r="G54" i="5"/>
  <c r="G33" i="5" s="1"/>
  <c r="F54" i="5"/>
  <c r="F33" i="5" s="1"/>
  <c r="E54" i="5"/>
  <c r="D54" i="5"/>
  <c r="D33" i="5" s="1"/>
  <c r="M53" i="5"/>
  <c r="M32" i="5" s="1"/>
  <c r="L53" i="5"/>
  <c r="L32" i="5" s="1"/>
  <c r="K53" i="5"/>
  <c r="J53" i="5"/>
  <c r="J32" i="5" s="1"/>
  <c r="I53" i="5"/>
  <c r="I32" i="5" s="1"/>
  <c r="H53" i="5"/>
  <c r="H32" i="5" s="1"/>
  <c r="G53" i="5"/>
  <c r="F53" i="5"/>
  <c r="F32" i="5" s="1"/>
  <c r="E53" i="5"/>
  <c r="E32" i="5" s="1"/>
  <c r="D53" i="5"/>
  <c r="D32" i="5" s="1"/>
  <c r="M52" i="5"/>
  <c r="L52" i="5"/>
  <c r="L31" i="5" s="1"/>
  <c r="K52" i="5"/>
  <c r="K31" i="5" s="1"/>
  <c r="J52" i="5"/>
  <c r="J31" i="5" s="1"/>
  <c r="I52" i="5"/>
  <c r="H52" i="5"/>
  <c r="H31" i="5" s="1"/>
  <c r="G52" i="5"/>
  <c r="G31" i="5" s="1"/>
  <c r="F52" i="5"/>
  <c r="F31" i="5" s="1"/>
  <c r="E52" i="5"/>
  <c r="D52" i="5"/>
  <c r="D31" i="5" s="1"/>
  <c r="M51" i="5"/>
  <c r="M30" i="5" s="1"/>
  <c r="L51" i="5"/>
  <c r="L30" i="5" s="1"/>
  <c r="K51" i="5"/>
  <c r="J51" i="5"/>
  <c r="J30" i="5" s="1"/>
  <c r="I51" i="5"/>
  <c r="I30" i="5" s="1"/>
  <c r="H51" i="5"/>
  <c r="H30" i="5" s="1"/>
  <c r="G51" i="5"/>
  <c r="F51" i="5"/>
  <c r="F30" i="5" s="1"/>
  <c r="E51" i="5"/>
  <c r="E30" i="5" s="1"/>
  <c r="D51" i="5"/>
  <c r="D30" i="5" s="1"/>
  <c r="M50" i="5"/>
  <c r="L50" i="5"/>
  <c r="L29" i="5" s="1"/>
  <c r="K50" i="5"/>
  <c r="K29" i="5" s="1"/>
  <c r="J50" i="5"/>
  <c r="J29" i="5" s="1"/>
  <c r="I50" i="5"/>
  <c r="H50" i="5"/>
  <c r="H29" i="5" s="1"/>
  <c r="G50" i="5"/>
  <c r="G29" i="5" s="1"/>
  <c r="F50" i="5"/>
  <c r="F29" i="5" s="1"/>
  <c r="E50" i="5"/>
  <c r="D50" i="5"/>
  <c r="D29" i="5" s="1"/>
  <c r="M49" i="5"/>
  <c r="M28" i="5" s="1"/>
  <c r="L49" i="5"/>
  <c r="L28" i="5" s="1"/>
  <c r="K49" i="5"/>
  <c r="J49" i="5"/>
  <c r="J28" i="5" s="1"/>
  <c r="I49" i="5"/>
  <c r="I28" i="5" s="1"/>
  <c r="H49" i="5"/>
  <c r="H28" i="5" s="1"/>
  <c r="G49" i="5"/>
  <c r="F49" i="5"/>
  <c r="F28" i="5" s="1"/>
  <c r="E49" i="5"/>
  <c r="E28" i="5" s="1"/>
  <c r="D49" i="5"/>
  <c r="D28" i="5" s="1"/>
  <c r="M48" i="5"/>
  <c r="L48" i="5"/>
  <c r="L27" i="5" s="1"/>
  <c r="K48" i="5"/>
  <c r="K27" i="5" s="1"/>
  <c r="J48" i="5"/>
  <c r="J27" i="5" s="1"/>
  <c r="I48" i="5"/>
  <c r="H48" i="5"/>
  <c r="H27" i="5" s="1"/>
  <c r="G48" i="5"/>
  <c r="G27" i="5" s="1"/>
  <c r="F48" i="5"/>
  <c r="F27" i="5" s="1"/>
  <c r="E48" i="5"/>
  <c r="D48" i="5"/>
  <c r="D27" i="5" s="1"/>
  <c r="M47" i="5"/>
  <c r="M26" i="5" s="1"/>
  <c r="L47" i="5"/>
  <c r="L26" i="5" s="1"/>
  <c r="K47" i="5"/>
  <c r="K26" i="5" s="1"/>
  <c r="J47" i="5"/>
  <c r="J26" i="5" s="1"/>
  <c r="I47" i="5"/>
  <c r="I26" i="5" s="1"/>
  <c r="H47" i="5"/>
  <c r="H26" i="5" s="1"/>
  <c r="G47" i="5"/>
  <c r="F47" i="5"/>
  <c r="F26" i="5" s="1"/>
  <c r="E47" i="5"/>
  <c r="E26" i="5" s="1"/>
  <c r="D47" i="5"/>
  <c r="D26" i="5" s="1"/>
  <c r="M46" i="5"/>
  <c r="L46" i="5"/>
  <c r="L25" i="5" s="1"/>
  <c r="K46" i="5"/>
  <c r="K25" i="5" s="1"/>
  <c r="J46" i="5"/>
  <c r="J25" i="5" s="1"/>
  <c r="I46" i="5"/>
  <c r="H46" i="5"/>
  <c r="H25" i="5" s="1"/>
  <c r="G46" i="5"/>
  <c r="G25" i="5" s="1"/>
  <c r="F46" i="5"/>
  <c r="F25" i="5" s="1"/>
  <c r="E46" i="5"/>
  <c r="E25" i="5" s="1"/>
  <c r="D46" i="5"/>
  <c r="D25" i="5" s="1"/>
  <c r="M45" i="5"/>
  <c r="M24" i="5" s="1"/>
  <c r="L45" i="5"/>
  <c r="L24" i="5" s="1"/>
  <c r="K45" i="5"/>
  <c r="J45" i="5"/>
  <c r="J24" i="5" s="1"/>
  <c r="I45" i="5"/>
  <c r="I24" i="5" s="1"/>
  <c r="H45" i="5"/>
  <c r="H24" i="5" s="1"/>
  <c r="G45" i="5"/>
  <c r="F45" i="5"/>
  <c r="F24" i="5" s="1"/>
  <c r="E45" i="5"/>
  <c r="E24" i="5" s="1"/>
  <c r="D45" i="5"/>
  <c r="D24" i="5" s="1"/>
  <c r="M44" i="5"/>
  <c r="M23" i="5" s="1"/>
  <c r="L44" i="5"/>
  <c r="L23" i="5" s="1"/>
  <c r="K44" i="5"/>
  <c r="K23" i="5" s="1"/>
  <c r="J44" i="5"/>
  <c r="J23" i="5" s="1"/>
  <c r="I44" i="5"/>
  <c r="H44" i="5"/>
  <c r="H23" i="5" s="1"/>
  <c r="G44" i="5"/>
  <c r="G23" i="5" s="1"/>
  <c r="F44" i="5"/>
  <c r="F23" i="5" s="1"/>
  <c r="E44" i="5"/>
  <c r="D44" i="5"/>
  <c r="D23" i="5" s="1"/>
  <c r="M43" i="5"/>
  <c r="M22" i="5" s="1"/>
  <c r="L43" i="5"/>
  <c r="L22" i="5" s="1"/>
  <c r="K43" i="5"/>
  <c r="J43" i="5"/>
  <c r="J22" i="5" s="1"/>
  <c r="I43" i="5"/>
  <c r="I22" i="5" s="1"/>
  <c r="H43" i="5"/>
  <c r="H22" i="5" s="1"/>
  <c r="G43" i="5"/>
  <c r="G22" i="5" s="1"/>
  <c r="F43" i="5"/>
  <c r="F22" i="5" s="1"/>
  <c r="E43" i="5"/>
  <c r="E22" i="5" s="1"/>
  <c r="D43" i="5"/>
  <c r="D22" i="5" s="1"/>
  <c r="M42" i="5"/>
  <c r="L42" i="5"/>
  <c r="L21" i="5" s="1"/>
  <c r="K42" i="5"/>
  <c r="K21" i="5" s="1"/>
  <c r="J42" i="5"/>
  <c r="J21" i="5" s="1"/>
  <c r="I42" i="5"/>
  <c r="H42" i="5"/>
  <c r="H21" i="5" s="1"/>
  <c r="G42" i="5"/>
  <c r="G21" i="5" s="1"/>
  <c r="F42" i="5"/>
  <c r="F21" i="5" s="1"/>
  <c r="E42" i="5"/>
  <c r="D42" i="5"/>
  <c r="M41" i="5"/>
  <c r="M20" i="5" s="1"/>
  <c r="L41" i="5"/>
  <c r="L20" i="5" s="1"/>
  <c r="K41" i="5"/>
  <c r="J41" i="5"/>
  <c r="J20" i="5" s="1"/>
  <c r="I41" i="5"/>
  <c r="I20" i="5" s="1"/>
  <c r="H41" i="5"/>
  <c r="H20" i="5" s="1"/>
  <c r="G41" i="5"/>
  <c r="F41" i="5"/>
  <c r="F20" i="5" s="1"/>
  <c r="E41" i="5"/>
  <c r="D41" i="5"/>
  <c r="D20" i="5" s="1"/>
  <c r="M40" i="5"/>
  <c r="L40" i="5"/>
  <c r="L19" i="5" s="1"/>
  <c r="K40" i="5"/>
  <c r="K19" i="5" s="1"/>
  <c r="J40" i="5"/>
  <c r="J19" i="5" s="1"/>
  <c r="J12" i="5" s="1"/>
  <c r="I40" i="5"/>
  <c r="I19" i="5" s="1"/>
  <c r="H40" i="5"/>
  <c r="H19" i="5" s="1"/>
  <c r="G40" i="5"/>
  <c r="G19" i="5" s="1"/>
  <c r="F40" i="5"/>
  <c r="F19" i="5" s="1"/>
  <c r="E40" i="5"/>
  <c r="D40" i="5"/>
  <c r="D19" i="5" s="1"/>
  <c r="N39" i="5"/>
  <c r="M39" i="5"/>
  <c r="M18" i="5" s="1"/>
  <c r="L39" i="5"/>
  <c r="K39" i="5"/>
  <c r="J39" i="5"/>
  <c r="J18" i="5" s="1"/>
  <c r="I39" i="5"/>
  <c r="I18" i="5" s="1"/>
  <c r="H39" i="5"/>
  <c r="H18" i="5" s="1"/>
  <c r="G39" i="5"/>
  <c r="G18" i="5" s="1"/>
  <c r="F39" i="5"/>
  <c r="F18" i="5" s="1"/>
  <c r="E39" i="5"/>
  <c r="E18" i="5" s="1"/>
  <c r="D39" i="5"/>
  <c r="N38" i="5"/>
  <c r="M38" i="5"/>
  <c r="M17" i="5" s="1"/>
  <c r="L38" i="5"/>
  <c r="L17" i="5" s="1"/>
  <c r="K38" i="5"/>
  <c r="J38" i="5"/>
  <c r="J17" i="5" s="1"/>
  <c r="I38" i="5"/>
  <c r="I17" i="5" s="1"/>
  <c r="H38" i="5"/>
  <c r="H17" i="5" s="1"/>
  <c r="G38" i="5"/>
  <c r="F38" i="5"/>
  <c r="F17" i="5" s="1"/>
  <c r="E38" i="5"/>
  <c r="E17" i="5" s="1"/>
  <c r="D38" i="5"/>
  <c r="D17" i="5" s="1"/>
  <c r="N37" i="5"/>
  <c r="M37" i="5"/>
  <c r="M16" i="5" s="1"/>
  <c r="L37" i="5"/>
  <c r="K37" i="5"/>
  <c r="K16" i="5" s="1"/>
  <c r="J37" i="5"/>
  <c r="J16" i="5" s="1"/>
  <c r="I37" i="5"/>
  <c r="H37" i="5"/>
  <c r="G37" i="5"/>
  <c r="G3" i="5" s="1"/>
  <c r="F37" i="5"/>
  <c r="E37" i="5"/>
  <c r="E16" i="5" s="1"/>
  <c r="D37" i="5"/>
  <c r="D16" i="5" s="1"/>
  <c r="N36" i="5"/>
  <c r="C36" i="5"/>
  <c r="M33" i="5"/>
  <c r="I33" i="5"/>
  <c r="E33" i="5"/>
  <c r="K32" i="5"/>
  <c r="G32" i="5"/>
  <c r="M31" i="5"/>
  <c r="I31" i="5"/>
  <c r="E31" i="5"/>
  <c r="K30" i="5"/>
  <c r="G30" i="5"/>
  <c r="M29" i="5"/>
  <c r="I29" i="5"/>
  <c r="E29" i="5"/>
  <c r="K28" i="5"/>
  <c r="G28" i="5"/>
  <c r="M27" i="5"/>
  <c r="I27" i="5"/>
  <c r="E27" i="5"/>
  <c r="G26" i="5"/>
  <c r="M25" i="5"/>
  <c r="I25" i="5"/>
  <c r="K24" i="5"/>
  <c r="G24" i="5"/>
  <c r="I23" i="5"/>
  <c r="E23" i="5"/>
  <c r="K22" i="5"/>
  <c r="M21" i="5"/>
  <c r="I21" i="5"/>
  <c r="E21" i="5"/>
  <c r="D21" i="5"/>
  <c r="K20" i="5"/>
  <c r="G20" i="5"/>
  <c r="M19" i="5"/>
  <c r="E19" i="5"/>
  <c r="L18" i="5"/>
  <c r="K18" i="5"/>
  <c r="D18" i="5"/>
  <c r="K17" i="5"/>
  <c r="G17" i="5"/>
  <c r="I16" i="5"/>
  <c r="F16" i="5"/>
  <c r="G13" i="5" l="1"/>
  <c r="L6" i="6"/>
  <c r="K6" i="6"/>
  <c r="K7" i="6"/>
  <c r="K4" i="6"/>
  <c r="L4" i="6"/>
  <c r="L7" i="6"/>
  <c r="K13" i="5"/>
  <c r="F12" i="5"/>
  <c r="E10" i="5"/>
  <c r="I10" i="5"/>
  <c r="M10" i="5"/>
  <c r="I13" i="5"/>
  <c r="H10" i="5"/>
  <c r="G16" i="5"/>
  <c r="G9" i="5" s="1"/>
  <c r="G11" i="5"/>
  <c r="L10" i="5"/>
  <c r="F10" i="5"/>
  <c r="J10" i="5"/>
  <c r="H3" i="5"/>
  <c r="L11" i="5"/>
  <c r="D10" i="5"/>
  <c r="C10" i="5" s="1"/>
  <c r="L3" i="5"/>
  <c r="I11" i="5"/>
  <c r="D12" i="5"/>
  <c r="D13" i="5"/>
  <c r="D8" i="5" s="1"/>
  <c r="H13" i="5"/>
  <c r="L13" i="5"/>
  <c r="I12" i="5"/>
  <c r="D9" i="5"/>
  <c r="E11" i="5"/>
  <c r="M11" i="5"/>
  <c r="E13" i="5"/>
  <c r="M13" i="5"/>
  <c r="K9" i="5"/>
  <c r="F3" i="5"/>
  <c r="J9" i="5"/>
  <c r="H11" i="5"/>
  <c r="J13" i="5"/>
  <c r="F9" i="5"/>
  <c r="D11" i="5"/>
  <c r="C13" i="5"/>
  <c r="N54" i="5"/>
  <c r="A15" i="5" s="1"/>
  <c r="K12" i="5"/>
  <c r="J3" i="5"/>
  <c r="L16" i="5"/>
  <c r="L9" i="5" s="1"/>
  <c r="E12" i="5"/>
  <c r="I3" i="5"/>
  <c r="H12" i="5"/>
  <c r="L12" i="5"/>
  <c r="D3" i="5"/>
  <c r="F11" i="5"/>
  <c r="J11" i="5"/>
  <c r="G12" i="5"/>
  <c r="G7" i="5" s="1"/>
  <c r="E20" i="5"/>
  <c r="E9" i="5" s="1"/>
  <c r="H16" i="5"/>
  <c r="H9" i="5" s="1"/>
  <c r="M12" i="5"/>
  <c r="E3" i="5"/>
  <c r="M3" i="5"/>
  <c r="K3" i="5"/>
  <c r="I9" i="5"/>
  <c r="M9" i="5"/>
  <c r="G10" i="5"/>
  <c r="K10" i="5"/>
  <c r="K11" i="5"/>
  <c r="F13" i="5"/>
  <c r="F8" i="5" s="1"/>
  <c r="D3" i="1"/>
  <c r="C36" i="4"/>
  <c r="C36" i="2"/>
  <c r="M54" i="4"/>
  <c r="L54" i="4"/>
  <c r="K54" i="4"/>
  <c r="J54" i="4"/>
  <c r="I54" i="4"/>
  <c r="H54" i="4"/>
  <c r="G54" i="4"/>
  <c r="F54" i="4"/>
  <c r="E54" i="4"/>
  <c r="D54" i="4"/>
  <c r="M53" i="4"/>
  <c r="L53" i="4"/>
  <c r="K53" i="4"/>
  <c r="J53" i="4"/>
  <c r="I53" i="4"/>
  <c r="H53" i="4"/>
  <c r="G53" i="4"/>
  <c r="F53" i="4"/>
  <c r="E53" i="4"/>
  <c r="D53" i="4"/>
  <c r="M52" i="4"/>
  <c r="L52" i="4"/>
  <c r="K52" i="4"/>
  <c r="J52" i="4"/>
  <c r="I52" i="4"/>
  <c r="H52" i="4"/>
  <c r="G52" i="4"/>
  <c r="F52" i="4"/>
  <c r="E52" i="4"/>
  <c r="D52" i="4"/>
  <c r="M51" i="4"/>
  <c r="L51" i="4"/>
  <c r="K51" i="4"/>
  <c r="J51" i="4"/>
  <c r="I51" i="4"/>
  <c r="H51" i="4"/>
  <c r="G51" i="4"/>
  <c r="F51" i="4"/>
  <c r="E51" i="4"/>
  <c r="D51" i="4"/>
  <c r="M50" i="4"/>
  <c r="L50" i="4"/>
  <c r="K50" i="4"/>
  <c r="J50" i="4"/>
  <c r="I50" i="4"/>
  <c r="H50" i="4"/>
  <c r="G50" i="4"/>
  <c r="F50" i="4"/>
  <c r="E50" i="4"/>
  <c r="D50" i="4"/>
  <c r="M49" i="4"/>
  <c r="L49" i="4"/>
  <c r="K49" i="4"/>
  <c r="J49" i="4"/>
  <c r="I49" i="4"/>
  <c r="H49" i="4"/>
  <c r="G49" i="4"/>
  <c r="F49" i="4"/>
  <c r="E49" i="4"/>
  <c r="D49" i="4"/>
  <c r="M48" i="4"/>
  <c r="L48" i="4"/>
  <c r="K48" i="4"/>
  <c r="J48" i="4"/>
  <c r="I48" i="4"/>
  <c r="H48" i="4"/>
  <c r="G48" i="4"/>
  <c r="F48" i="4"/>
  <c r="E48" i="4"/>
  <c r="D48" i="4"/>
  <c r="M47" i="4"/>
  <c r="L47" i="4"/>
  <c r="K47" i="4"/>
  <c r="J47" i="4"/>
  <c r="I47" i="4"/>
  <c r="H47" i="4"/>
  <c r="G47" i="4"/>
  <c r="F47" i="4"/>
  <c r="E47" i="4"/>
  <c r="D47" i="4"/>
  <c r="M46" i="4"/>
  <c r="L46" i="4"/>
  <c r="K46" i="4"/>
  <c r="J46" i="4"/>
  <c r="I46" i="4"/>
  <c r="H46" i="4"/>
  <c r="G46" i="4"/>
  <c r="F46" i="4"/>
  <c r="E46" i="4"/>
  <c r="D46" i="4"/>
  <c r="M45" i="4"/>
  <c r="L45" i="4"/>
  <c r="K45" i="4"/>
  <c r="J45" i="4"/>
  <c r="I45" i="4"/>
  <c r="H45" i="4"/>
  <c r="G45" i="4"/>
  <c r="F45" i="4"/>
  <c r="E45" i="4"/>
  <c r="D45" i="4"/>
  <c r="M44" i="4"/>
  <c r="L44" i="4"/>
  <c r="K44" i="4"/>
  <c r="J44" i="4"/>
  <c r="I44" i="4"/>
  <c r="H44" i="4"/>
  <c r="G44" i="4"/>
  <c r="F44" i="4"/>
  <c r="E44" i="4"/>
  <c r="D44" i="4"/>
  <c r="M43" i="4"/>
  <c r="L43" i="4"/>
  <c r="K43" i="4"/>
  <c r="J43" i="4"/>
  <c r="I43" i="4"/>
  <c r="H43" i="4"/>
  <c r="G43" i="4"/>
  <c r="F43" i="4"/>
  <c r="E43" i="4"/>
  <c r="D43" i="4"/>
  <c r="M42" i="4"/>
  <c r="L42" i="4"/>
  <c r="K42" i="4"/>
  <c r="J42" i="4"/>
  <c r="I42" i="4"/>
  <c r="H42" i="4"/>
  <c r="G42" i="4"/>
  <c r="F42" i="4"/>
  <c r="E42" i="4"/>
  <c r="D42" i="4"/>
  <c r="M41" i="4"/>
  <c r="L41" i="4"/>
  <c r="K41" i="4"/>
  <c r="J41" i="4"/>
  <c r="I41" i="4"/>
  <c r="H41" i="4"/>
  <c r="G41" i="4"/>
  <c r="F41" i="4"/>
  <c r="E41" i="4"/>
  <c r="D41" i="4"/>
  <c r="M40" i="4"/>
  <c r="L40" i="4"/>
  <c r="K40" i="4"/>
  <c r="J40" i="4"/>
  <c r="I40" i="4"/>
  <c r="H40" i="4"/>
  <c r="G40" i="4"/>
  <c r="F40" i="4"/>
  <c r="E40" i="4"/>
  <c r="D40" i="4"/>
  <c r="N39" i="4"/>
  <c r="M39" i="4"/>
  <c r="L39" i="4"/>
  <c r="K39" i="4"/>
  <c r="J39" i="4"/>
  <c r="I39" i="4"/>
  <c r="H39" i="4"/>
  <c r="G39" i="4"/>
  <c r="F39" i="4"/>
  <c r="E39" i="4"/>
  <c r="D39" i="4"/>
  <c r="N38" i="4"/>
  <c r="M38" i="4"/>
  <c r="L38" i="4"/>
  <c r="K38" i="4"/>
  <c r="J38" i="4"/>
  <c r="I38" i="4"/>
  <c r="H38" i="4"/>
  <c r="G38" i="4"/>
  <c r="F38" i="4"/>
  <c r="E38" i="4"/>
  <c r="D38" i="4"/>
  <c r="N37" i="4"/>
  <c r="M37" i="4"/>
  <c r="L37" i="4"/>
  <c r="K37" i="4"/>
  <c r="J37" i="4"/>
  <c r="I37" i="4"/>
  <c r="H37" i="4"/>
  <c r="G37" i="4"/>
  <c r="F37" i="4"/>
  <c r="E37" i="4"/>
  <c r="D37" i="4"/>
  <c r="N36" i="4"/>
  <c r="N37" i="2"/>
  <c r="D5" i="2"/>
  <c r="E5" i="2"/>
  <c r="F5" i="2"/>
  <c r="G5" i="2"/>
  <c r="H5" i="2"/>
  <c r="I5" i="2"/>
  <c r="J5" i="2"/>
  <c r="K5" i="2"/>
  <c r="L5" i="2"/>
  <c r="D4" i="2"/>
  <c r="D10" i="2"/>
  <c r="D3" i="2"/>
  <c r="D9" i="2"/>
  <c r="C9" i="2"/>
  <c r="G3" i="2"/>
  <c r="F3" i="2"/>
  <c r="E3" i="2"/>
  <c r="D11" i="2"/>
  <c r="D12" i="2"/>
  <c r="D13" i="2"/>
  <c r="D17" i="2"/>
  <c r="E17" i="2"/>
  <c r="F17" i="2"/>
  <c r="G17" i="2"/>
  <c r="H17" i="2"/>
  <c r="I17" i="2"/>
  <c r="J17" i="2"/>
  <c r="K17" i="2"/>
  <c r="L17" i="2"/>
  <c r="M17" i="2"/>
  <c r="D18" i="2"/>
  <c r="E18" i="2"/>
  <c r="F18" i="2"/>
  <c r="G18" i="2"/>
  <c r="H18" i="2"/>
  <c r="I18" i="2"/>
  <c r="J18" i="2"/>
  <c r="K18" i="2"/>
  <c r="L18" i="2"/>
  <c r="M18" i="2"/>
  <c r="D19" i="2"/>
  <c r="E19" i="2"/>
  <c r="F19" i="2"/>
  <c r="G19" i="2"/>
  <c r="H19" i="2"/>
  <c r="I19" i="2"/>
  <c r="J19" i="2"/>
  <c r="K19" i="2"/>
  <c r="L19" i="2"/>
  <c r="M19" i="2"/>
  <c r="D20" i="2"/>
  <c r="E20" i="2"/>
  <c r="F20" i="2"/>
  <c r="G20" i="2"/>
  <c r="H20" i="2"/>
  <c r="I20" i="2"/>
  <c r="J20" i="2"/>
  <c r="K20" i="2"/>
  <c r="L20" i="2"/>
  <c r="M20" i="2"/>
  <c r="D21" i="2"/>
  <c r="E21" i="2"/>
  <c r="F21" i="2"/>
  <c r="G21" i="2"/>
  <c r="H21" i="2"/>
  <c r="I21" i="2"/>
  <c r="J21" i="2"/>
  <c r="K21" i="2"/>
  <c r="L21" i="2"/>
  <c r="M21" i="2"/>
  <c r="D22" i="2"/>
  <c r="E22" i="2"/>
  <c r="F22" i="2"/>
  <c r="G22" i="2"/>
  <c r="H22" i="2"/>
  <c r="I22" i="2"/>
  <c r="J22" i="2"/>
  <c r="K22" i="2"/>
  <c r="L22" i="2"/>
  <c r="M22" i="2"/>
  <c r="D23" i="2"/>
  <c r="E23" i="2"/>
  <c r="F23" i="2"/>
  <c r="G23" i="2"/>
  <c r="H23" i="2"/>
  <c r="I23" i="2"/>
  <c r="J23" i="2"/>
  <c r="K23" i="2"/>
  <c r="L23" i="2"/>
  <c r="M23" i="2"/>
  <c r="D24" i="2"/>
  <c r="E24" i="2"/>
  <c r="F24" i="2"/>
  <c r="G24" i="2"/>
  <c r="H24" i="2"/>
  <c r="I24" i="2"/>
  <c r="J24" i="2"/>
  <c r="K24" i="2"/>
  <c r="L24" i="2"/>
  <c r="M24" i="2"/>
  <c r="D25" i="2"/>
  <c r="E25" i="2"/>
  <c r="F25" i="2"/>
  <c r="G25" i="2"/>
  <c r="H25" i="2"/>
  <c r="I25" i="2"/>
  <c r="J25" i="2"/>
  <c r="K25" i="2"/>
  <c r="L25" i="2"/>
  <c r="M25" i="2"/>
  <c r="D26" i="2"/>
  <c r="E26" i="2"/>
  <c r="F26" i="2"/>
  <c r="G26" i="2"/>
  <c r="H26" i="2"/>
  <c r="I26" i="2"/>
  <c r="J26" i="2"/>
  <c r="K26" i="2"/>
  <c r="L26" i="2"/>
  <c r="M26" i="2"/>
  <c r="D27" i="2"/>
  <c r="E27" i="2"/>
  <c r="F27" i="2"/>
  <c r="G27" i="2"/>
  <c r="H27" i="2"/>
  <c r="I27" i="2"/>
  <c r="J27" i="2"/>
  <c r="K27" i="2"/>
  <c r="L27" i="2"/>
  <c r="M27" i="2"/>
  <c r="D28" i="2"/>
  <c r="E28" i="2"/>
  <c r="F28" i="2"/>
  <c r="G28" i="2"/>
  <c r="H28" i="2"/>
  <c r="I28" i="2"/>
  <c r="J28" i="2"/>
  <c r="K28" i="2"/>
  <c r="L28" i="2"/>
  <c r="M28" i="2"/>
  <c r="D29" i="2"/>
  <c r="E29" i="2"/>
  <c r="F29" i="2"/>
  <c r="G29" i="2"/>
  <c r="H29" i="2"/>
  <c r="I29" i="2"/>
  <c r="J29" i="2"/>
  <c r="K29" i="2"/>
  <c r="L29" i="2"/>
  <c r="M29" i="2"/>
  <c r="D30" i="2"/>
  <c r="E30" i="2"/>
  <c r="F30" i="2"/>
  <c r="G30" i="2"/>
  <c r="H30" i="2"/>
  <c r="I30" i="2"/>
  <c r="J30" i="2"/>
  <c r="K30" i="2"/>
  <c r="L30" i="2"/>
  <c r="M30" i="2"/>
  <c r="D31" i="2"/>
  <c r="E31" i="2"/>
  <c r="F31" i="2"/>
  <c r="G31" i="2"/>
  <c r="H31" i="2"/>
  <c r="I31" i="2"/>
  <c r="J31" i="2"/>
  <c r="K31" i="2"/>
  <c r="L31" i="2"/>
  <c r="M31" i="2"/>
  <c r="D32" i="2"/>
  <c r="E32" i="2"/>
  <c r="F32" i="2"/>
  <c r="G32" i="2"/>
  <c r="H32" i="2"/>
  <c r="I32" i="2"/>
  <c r="J32" i="2"/>
  <c r="K32" i="2"/>
  <c r="L32" i="2"/>
  <c r="M32" i="2"/>
  <c r="D33" i="2"/>
  <c r="E33" i="2"/>
  <c r="F33" i="2"/>
  <c r="G33" i="2"/>
  <c r="H33" i="2"/>
  <c r="I33" i="2"/>
  <c r="J33" i="2"/>
  <c r="K33" i="2"/>
  <c r="L33" i="2"/>
  <c r="M33" i="2"/>
  <c r="E16" i="2"/>
  <c r="F16" i="2"/>
  <c r="G16" i="2"/>
  <c r="H16" i="2"/>
  <c r="I16" i="2"/>
  <c r="J16" i="2"/>
  <c r="K16" i="2"/>
  <c r="L16" i="2"/>
  <c r="M16" i="2"/>
  <c r="D16" i="2"/>
  <c r="M54" i="3"/>
  <c r="M33" i="3" s="1"/>
  <c r="L54" i="3"/>
  <c r="L33" i="3" s="1"/>
  <c r="K54" i="3"/>
  <c r="K33" i="3" s="1"/>
  <c r="J54" i="3"/>
  <c r="J33" i="3" s="1"/>
  <c r="I54" i="3"/>
  <c r="I33" i="3" s="1"/>
  <c r="H54" i="3"/>
  <c r="H33" i="3" s="1"/>
  <c r="G54" i="3"/>
  <c r="G33" i="3" s="1"/>
  <c r="F54" i="3"/>
  <c r="F33" i="3" s="1"/>
  <c r="E54" i="3"/>
  <c r="E33" i="3" s="1"/>
  <c r="D54" i="3"/>
  <c r="D33" i="3" s="1"/>
  <c r="M53" i="3"/>
  <c r="M32" i="3" s="1"/>
  <c r="L53" i="3"/>
  <c r="L32" i="3" s="1"/>
  <c r="K53" i="3"/>
  <c r="K32" i="3" s="1"/>
  <c r="J53" i="3"/>
  <c r="J32" i="3" s="1"/>
  <c r="I53" i="3"/>
  <c r="I32" i="3" s="1"/>
  <c r="H53" i="3"/>
  <c r="H32" i="3" s="1"/>
  <c r="G53" i="3"/>
  <c r="G32" i="3" s="1"/>
  <c r="F53" i="3"/>
  <c r="F32" i="3" s="1"/>
  <c r="E53" i="3"/>
  <c r="E32" i="3" s="1"/>
  <c r="D53" i="3"/>
  <c r="D32" i="3" s="1"/>
  <c r="M52" i="3"/>
  <c r="M31" i="3" s="1"/>
  <c r="L52" i="3"/>
  <c r="L31" i="3" s="1"/>
  <c r="K52" i="3"/>
  <c r="K31" i="3" s="1"/>
  <c r="J52" i="3"/>
  <c r="J31" i="3" s="1"/>
  <c r="I52" i="3"/>
  <c r="I31" i="3" s="1"/>
  <c r="H52" i="3"/>
  <c r="H31" i="3" s="1"/>
  <c r="G52" i="3"/>
  <c r="G31" i="3" s="1"/>
  <c r="F52" i="3"/>
  <c r="F31" i="3" s="1"/>
  <c r="E52" i="3"/>
  <c r="E31" i="3" s="1"/>
  <c r="D52" i="3"/>
  <c r="D31" i="3" s="1"/>
  <c r="M51" i="3"/>
  <c r="M30" i="3" s="1"/>
  <c r="L51" i="3"/>
  <c r="L30" i="3" s="1"/>
  <c r="K51" i="3"/>
  <c r="K30" i="3" s="1"/>
  <c r="J51" i="3"/>
  <c r="J30" i="3" s="1"/>
  <c r="I51" i="3"/>
  <c r="I30" i="3" s="1"/>
  <c r="H51" i="3"/>
  <c r="H30" i="3" s="1"/>
  <c r="G51" i="3"/>
  <c r="G30" i="3" s="1"/>
  <c r="F51" i="3"/>
  <c r="F30" i="3" s="1"/>
  <c r="E51" i="3"/>
  <c r="E30" i="3" s="1"/>
  <c r="D51" i="3"/>
  <c r="D30" i="3" s="1"/>
  <c r="M50" i="3"/>
  <c r="M29" i="3" s="1"/>
  <c r="L50" i="3"/>
  <c r="L29" i="3" s="1"/>
  <c r="K50" i="3"/>
  <c r="K29" i="3" s="1"/>
  <c r="J50" i="3"/>
  <c r="J29" i="3" s="1"/>
  <c r="I50" i="3"/>
  <c r="I29" i="3" s="1"/>
  <c r="H50" i="3"/>
  <c r="H29" i="3" s="1"/>
  <c r="G50" i="3"/>
  <c r="G29" i="3" s="1"/>
  <c r="F50" i="3"/>
  <c r="F29" i="3" s="1"/>
  <c r="E50" i="3"/>
  <c r="E29" i="3" s="1"/>
  <c r="D50" i="3"/>
  <c r="D29" i="3" s="1"/>
  <c r="M49" i="3"/>
  <c r="M28" i="3" s="1"/>
  <c r="L49" i="3"/>
  <c r="L28" i="3" s="1"/>
  <c r="K49" i="3"/>
  <c r="K28" i="3" s="1"/>
  <c r="J49" i="3"/>
  <c r="J28" i="3" s="1"/>
  <c r="I49" i="3"/>
  <c r="I28" i="3" s="1"/>
  <c r="H49" i="3"/>
  <c r="H28" i="3" s="1"/>
  <c r="G49" i="3"/>
  <c r="G28" i="3" s="1"/>
  <c r="F49" i="3"/>
  <c r="F28" i="3" s="1"/>
  <c r="E49" i="3"/>
  <c r="E28" i="3" s="1"/>
  <c r="D49" i="3"/>
  <c r="D28" i="3" s="1"/>
  <c r="M48" i="3"/>
  <c r="M27" i="3" s="1"/>
  <c r="L48" i="3"/>
  <c r="L27" i="3" s="1"/>
  <c r="K48" i="3"/>
  <c r="K27" i="3" s="1"/>
  <c r="J48" i="3"/>
  <c r="J27" i="3" s="1"/>
  <c r="I48" i="3"/>
  <c r="I27" i="3" s="1"/>
  <c r="H48" i="3"/>
  <c r="H27" i="3" s="1"/>
  <c r="G48" i="3"/>
  <c r="G27" i="3" s="1"/>
  <c r="F48" i="3"/>
  <c r="F27" i="3" s="1"/>
  <c r="E48" i="3"/>
  <c r="E27" i="3" s="1"/>
  <c r="D48" i="3"/>
  <c r="D27" i="3" s="1"/>
  <c r="M47" i="3"/>
  <c r="M26" i="3" s="1"/>
  <c r="L47" i="3"/>
  <c r="L26" i="3" s="1"/>
  <c r="K47" i="3"/>
  <c r="K26" i="3" s="1"/>
  <c r="J47" i="3"/>
  <c r="J26" i="3" s="1"/>
  <c r="I47" i="3"/>
  <c r="I26" i="3" s="1"/>
  <c r="H47" i="3"/>
  <c r="H26" i="3" s="1"/>
  <c r="G47" i="3"/>
  <c r="G26" i="3" s="1"/>
  <c r="F47" i="3"/>
  <c r="F26" i="3" s="1"/>
  <c r="E47" i="3"/>
  <c r="E26" i="3" s="1"/>
  <c r="D47" i="3"/>
  <c r="D26" i="3" s="1"/>
  <c r="M46" i="3"/>
  <c r="M25" i="3" s="1"/>
  <c r="L46" i="3"/>
  <c r="L25" i="3" s="1"/>
  <c r="K46" i="3"/>
  <c r="K25" i="3" s="1"/>
  <c r="J46" i="3"/>
  <c r="J25" i="3" s="1"/>
  <c r="I46" i="3"/>
  <c r="I25" i="3" s="1"/>
  <c r="H46" i="3"/>
  <c r="H25" i="3" s="1"/>
  <c r="G46" i="3"/>
  <c r="G25" i="3" s="1"/>
  <c r="F46" i="3"/>
  <c r="F25" i="3" s="1"/>
  <c r="E46" i="3"/>
  <c r="E25" i="3" s="1"/>
  <c r="D46" i="3"/>
  <c r="D25" i="3" s="1"/>
  <c r="M45" i="3"/>
  <c r="M24" i="3" s="1"/>
  <c r="L45" i="3"/>
  <c r="L24" i="3" s="1"/>
  <c r="K45" i="3"/>
  <c r="K24" i="3" s="1"/>
  <c r="J45" i="3"/>
  <c r="J24" i="3" s="1"/>
  <c r="I45" i="3"/>
  <c r="I24" i="3" s="1"/>
  <c r="H45" i="3"/>
  <c r="H24" i="3" s="1"/>
  <c r="G45" i="3"/>
  <c r="G24" i="3" s="1"/>
  <c r="F45" i="3"/>
  <c r="F24" i="3" s="1"/>
  <c r="E45" i="3"/>
  <c r="E24" i="3" s="1"/>
  <c r="D45" i="3"/>
  <c r="D24" i="3" s="1"/>
  <c r="M44" i="3"/>
  <c r="M23" i="3" s="1"/>
  <c r="L44" i="3"/>
  <c r="L23" i="3" s="1"/>
  <c r="K44" i="3"/>
  <c r="K23" i="3" s="1"/>
  <c r="J44" i="3"/>
  <c r="J23" i="3" s="1"/>
  <c r="I44" i="3"/>
  <c r="I23" i="3" s="1"/>
  <c r="H44" i="3"/>
  <c r="H23" i="3" s="1"/>
  <c r="G44" i="3"/>
  <c r="G23" i="3" s="1"/>
  <c r="F44" i="3"/>
  <c r="F23" i="3" s="1"/>
  <c r="E44" i="3"/>
  <c r="E23" i="3" s="1"/>
  <c r="D44" i="3"/>
  <c r="D23" i="3" s="1"/>
  <c r="M43" i="3"/>
  <c r="M22" i="3" s="1"/>
  <c r="L43" i="3"/>
  <c r="L22" i="3" s="1"/>
  <c r="K43" i="3"/>
  <c r="K22" i="3" s="1"/>
  <c r="J43" i="3"/>
  <c r="J22" i="3" s="1"/>
  <c r="I43" i="3"/>
  <c r="I22" i="3" s="1"/>
  <c r="H43" i="3"/>
  <c r="H22" i="3" s="1"/>
  <c r="G43" i="3"/>
  <c r="G22" i="3" s="1"/>
  <c r="F43" i="3"/>
  <c r="F22" i="3" s="1"/>
  <c r="E43" i="3"/>
  <c r="E22" i="3" s="1"/>
  <c r="D43" i="3"/>
  <c r="D22" i="3" s="1"/>
  <c r="M42" i="3"/>
  <c r="M21" i="3" s="1"/>
  <c r="L42" i="3"/>
  <c r="L21" i="3" s="1"/>
  <c r="K42" i="3"/>
  <c r="K21" i="3" s="1"/>
  <c r="J42" i="3"/>
  <c r="J21" i="3" s="1"/>
  <c r="I42" i="3"/>
  <c r="I21" i="3" s="1"/>
  <c r="H42" i="3"/>
  <c r="H21" i="3" s="1"/>
  <c r="G42" i="3"/>
  <c r="G21" i="3" s="1"/>
  <c r="F42" i="3"/>
  <c r="F21" i="3" s="1"/>
  <c r="E42" i="3"/>
  <c r="E21" i="3" s="1"/>
  <c r="D42" i="3"/>
  <c r="D21" i="3" s="1"/>
  <c r="M41" i="3"/>
  <c r="M20" i="3" s="1"/>
  <c r="L41" i="3"/>
  <c r="L20" i="3" s="1"/>
  <c r="K41" i="3"/>
  <c r="K20" i="3" s="1"/>
  <c r="J41" i="3"/>
  <c r="J20" i="3" s="1"/>
  <c r="I41" i="3"/>
  <c r="I20" i="3" s="1"/>
  <c r="H41" i="3"/>
  <c r="H20" i="3" s="1"/>
  <c r="G41" i="3"/>
  <c r="G20" i="3" s="1"/>
  <c r="F41" i="3"/>
  <c r="F20" i="3" s="1"/>
  <c r="E41" i="3"/>
  <c r="E20" i="3" s="1"/>
  <c r="D41" i="3"/>
  <c r="D20" i="3" s="1"/>
  <c r="M40" i="3"/>
  <c r="M19" i="3" s="1"/>
  <c r="L40" i="3"/>
  <c r="L19" i="3" s="1"/>
  <c r="K40" i="3"/>
  <c r="K19" i="3" s="1"/>
  <c r="J40" i="3"/>
  <c r="J19" i="3" s="1"/>
  <c r="I40" i="3"/>
  <c r="I19" i="3" s="1"/>
  <c r="H40" i="3"/>
  <c r="H19" i="3" s="1"/>
  <c r="G40" i="3"/>
  <c r="G19" i="3" s="1"/>
  <c r="F40" i="3"/>
  <c r="F19" i="3" s="1"/>
  <c r="E40" i="3"/>
  <c r="E19" i="3" s="1"/>
  <c r="D40" i="3"/>
  <c r="D19" i="3" s="1"/>
  <c r="N39" i="3"/>
  <c r="M39" i="3"/>
  <c r="M18" i="3" s="1"/>
  <c r="L39" i="3"/>
  <c r="L18" i="3" s="1"/>
  <c r="K39" i="3"/>
  <c r="K18" i="3" s="1"/>
  <c r="J39" i="3"/>
  <c r="J18" i="3" s="1"/>
  <c r="I39" i="3"/>
  <c r="I18" i="3" s="1"/>
  <c r="H39" i="3"/>
  <c r="H18" i="3" s="1"/>
  <c r="G39" i="3"/>
  <c r="G18" i="3" s="1"/>
  <c r="F39" i="3"/>
  <c r="F18" i="3" s="1"/>
  <c r="E39" i="3"/>
  <c r="E18" i="3" s="1"/>
  <c r="D39" i="3"/>
  <c r="D18" i="3" s="1"/>
  <c r="N38" i="3"/>
  <c r="M38" i="3"/>
  <c r="M17" i="3" s="1"/>
  <c r="L38" i="3"/>
  <c r="L17" i="3" s="1"/>
  <c r="K38" i="3"/>
  <c r="K17" i="3" s="1"/>
  <c r="J38" i="3"/>
  <c r="I38" i="3"/>
  <c r="I17" i="3" s="1"/>
  <c r="H38" i="3"/>
  <c r="H17" i="3" s="1"/>
  <c r="G38" i="3"/>
  <c r="G17" i="3" s="1"/>
  <c r="F38" i="3"/>
  <c r="F17" i="3" s="1"/>
  <c r="E38" i="3"/>
  <c r="E17" i="3" s="1"/>
  <c r="D38" i="3"/>
  <c r="D17" i="3" s="1"/>
  <c r="N37" i="3"/>
  <c r="M37" i="3"/>
  <c r="L37" i="3"/>
  <c r="L16" i="3" s="1"/>
  <c r="K37" i="3"/>
  <c r="K16" i="3" s="1"/>
  <c r="J37" i="3"/>
  <c r="J16" i="3" s="1"/>
  <c r="I37" i="3"/>
  <c r="H37" i="3"/>
  <c r="H16" i="3" s="1"/>
  <c r="G37" i="3"/>
  <c r="G16" i="3" s="1"/>
  <c r="F37" i="3"/>
  <c r="F16" i="3" s="1"/>
  <c r="E37" i="3"/>
  <c r="D37" i="3"/>
  <c r="D16" i="3" s="1"/>
  <c r="Q36" i="3"/>
  <c r="P36" i="3"/>
  <c r="N36" i="3"/>
  <c r="C36" i="3"/>
  <c r="F4" i="5" l="1"/>
  <c r="A25" i="5"/>
  <c r="I7" i="5"/>
  <c r="D7" i="5"/>
  <c r="J8" i="5"/>
  <c r="D6" i="5"/>
  <c r="I8" i="5"/>
  <c r="J6" i="5"/>
  <c r="H8" i="5"/>
  <c r="C11" i="5"/>
  <c r="L6" i="5" s="1"/>
  <c r="E7" i="5"/>
  <c r="H4" i="5"/>
  <c r="F7" i="5"/>
  <c r="C8" i="5"/>
  <c r="F6" i="5"/>
  <c r="E8" i="5"/>
  <c r="A21" i="5"/>
  <c r="A17" i="5"/>
  <c r="H7" i="5"/>
  <c r="K8" i="5"/>
  <c r="E6" i="5"/>
  <c r="G4" i="5"/>
  <c r="A30" i="5"/>
  <c r="E4" i="5"/>
  <c r="D4" i="5"/>
  <c r="C9" i="5"/>
  <c r="L4" i="5" s="1"/>
  <c r="L8" i="5"/>
  <c r="I6" i="5"/>
  <c r="I4" i="5"/>
  <c r="G6" i="5"/>
  <c r="H6" i="5"/>
  <c r="J4" i="5"/>
  <c r="C12" i="5"/>
  <c r="C7" i="5" s="1"/>
  <c r="J7" i="5"/>
  <c r="K2" i="5"/>
  <c r="G2" i="5"/>
  <c r="J2" i="5"/>
  <c r="F2" i="5"/>
  <c r="M2" i="5"/>
  <c r="E2" i="5"/>
  <c r="L2" i="5"/>
  <c r="D2" i="5"/>
  <c r="I2" i="5"/>
  <c r="H2" i="5"/>
  <c r="G8" i="5"/>
  <c r="N54" i="4"/>
  <c r="J12" i="3"/>
  <c r="F3" i="3"/>
  <c r="D10" i="3"/>
  <c r="H10" i="3"/>
  <c r="F11" i="3"/>
  <c r="E3" i="3"/>
  <c r="M3" i="3"/>
  <c r="F10" i="3"/>
  <c r="J3" i="3"/>
  <c r="F13" i="3"/>
  <c r="J13" i="3"/>
  <c r="F12" i="3"/>
  <c r="D13" i="3"/>
  <c r="H13" i="3"/>
  <c r="L10" i="3"/>
  <c r="F9" i="3"/>
  <c r="J11" i="3"/>
  <c r="I3" i="3"/>
  <c r="D11" i="3"/>
  <c r="H11" i="3"/>
  <c r="L11" i="3"/>
  <c r="D12" i="3"/>
  <c r="H12" i="3"/>
  <c r="L12" i="3"/>
  <c r="L13" i="3"/>
  <c r="J9" i="3"/>
  <c r="K12" i="3"/>
  <c r="K13" i="3"/>
  <c r="M12" i="3"/>
  <c r="E12" i="3"/>
  <c r="E7" i="3" s="1"/>
  <c r="M10" i="3"/>
  <c r="E10" i="3"/>
  <c r="C10" i="3" s="1"/>
  <c r="G9" i="3"/>
  <c r="I13" i="3"/>
  <c r="M11" i="3"/>
  <c r="I11" i="3"/>
  <c r="G10" i="3"/>
  <c r="G12" i="3"/>
  <c r="I16" i="3"/>
  <c r="I9" i="3" s="1"/>
  <c r="E16" i="3"/>
  <c r="E9" i="3" s="1"/>
  <c r="L9" i="3"/>
  <c r="H9" i="3"/>
  <c r="D9" i="3"/>
  <c r="J17" i="3"/>
  <c r="J10" i="3" s="1"/>
  <c r="G13" i="3"/>
  <c r="I12" i="3"/>
  <c r="K11" i="3"/>
  <c r="G11" i="3"/>
  <c r="I10" i="3"/>
  <c r="K9" i="3"/>
  <c r="M13" i="3"/>
  <c r="E13" i="3"/>
  <c r="E11" i="3"/>
  <c r="K10" i="3"/>
  <c r="M16" i="3"/>
  <c r="M9" i="3" s="1"/>
  <c r="N54" i="3"/>
  <c r="K2" i="3" s="1"/>
  <c r="D3" i="3"/>
  <c r="H3" i="3"/>
  <c r="L3" i="3"/>
  <c r="G3" i="3"/>
  <c r="K3" i="3"/>
  <c r="D7" i="3"/>
  <c r="E13" i="2"/>
  <c r="E8" i="2" s="1"/>
  <c r="F13" i="2"/>
  <c r="F8" i="2" s="1"/>
  <c r="G13" i="2"/>
  <c r="G8" i="2" s="1"/>
  <c r="H13" i="2"/>
  <c r="H8" i="2" s="1"/>
  <c r="I13" i="2"/>
  <c r="I8" i="2" s="1"/>
  <c r="J13" i="2"/>
  <c r="J8" i="2" s="1"/>
  <c r="K13" i="2"/>
  <c r="L13" i="2"/>
  <c r="M13" i="2"/>
  <c r="C10" i="2"/>
  <c r="E10" i="2"/>
  <c r="F10" i="2"/>
  <c r="G10" i="2"/>
  <c r="H10" i="2"/>
  <c r="I10" i="2"/>
  <c r="J10" i="2"/>
  <c r="K10" i="2"/>
  <c r="L10" i="2"/>
  <c r="M10" i="2"/>
  <c r="D6" i="2"/>
  <c r="E11" i="2"/>
  <c r="E6" i="2" s="1"/>
  <c r="F11" i="2"/>
  <c r="F6" i="2" s="1"/>
  <c r="G11" i="2"/>
  <c r="G6" i="2" s="1"/>
  <c r="H11" i="2"/>
  <c r="H6" i="2" s="1"/>
  <c r="I11" i="2"/>
  <c r="I6" i="2" s="1"/>
  <c r="J11" i="2"/>
  <c r="J6" i="2" s="1"/>
  <c r="K11" i="2"/>
  <c r="L11" i="2"/>
  <c r="M11" i="2"/>
  <c r="D7" i="2"/>
  <c r="E12" i="2"/>
  <c r="E7" i="2" s="1"/>
  <c r="F12" i="2"/>
  <c r="F7" i="2" s="1"/>
  <c r="G12" i="2"/>
  <c r="G7" i="2" s="1"/>
  <c r="H12" i="2"/>
  <c r="H7" i="2" s="1"/>
  <c r="I12" i="2"/>
  <c r="I7" i="2" s="1"/>
  <c r="J12" i="2"/>
  <c r="J7" i="2" s="1"/>
  <c r="K12" i="2"/>
  <c r="L12" i="2"/>
  <c r="M12" i="2"/>
  <c r="E9" i="2"/>
  <c r="F9" i="2"/>
  <c r="F4" i="2" s="1"/>
  <c r="G9" i="2"/>
  <c r="G4" i="2" s="1"/>
  <c r="H9" i="2"/>
  <c r="I9" i="2"/>
  <c r="I4" i="2" s="1"/>
  <c r="J9" i="2"/>
  <c r="J4" i="2" s="1"/>
  <c r="K9" i="2"/>
  <c r="L9" i="2"/>
  <c r="M9" i="2"/>
  <c r="D8" i="2"/>
  <c r="N39" i="2"/>
  <c r="N38" i="2"/>
  <c r="N36" i="2"/>
  <c r="Q36" i="2"/>
  <c r="P36" i="2"/>
  <c r="D38" i="2"/>
  <c r="E38" i="2"/>
  <c r="F38" i="2"/>
  <c r="G38" i="2"/>
  <c r="H38" i="2"/>
  <c r="I38" i="2"/>
  <c r="J38" i="2"/>
  <c r="K38" i="2"/>
  <c r="L38" i="2"/>
  <c r="M38" i="2"/>
  <c r="D39" i="2"/>
  <c r="E39" i="2"/>
  <c r="F39" i="2"/>
  <c r="G39" i="2"/>
  <c r="H39" i="2"/>
  <c r="I39" i="2"/>
  <c r="I3" i="2" s="1"/>
  <c r="J39" i="2"/>
  <c r="J3" i="2" s="1"/>
  <c r="K39" i="2"/>
  <c r="L39" i="2"/>
  <c r="M39" i="2"/>
  <c r="M3" i="2" s="1"/>
  <c r="D40" i="2"/>
  <c r="E40" i="2"/>
  <c r="F40" i="2"/>
  <c r="G40" i="2"/>
  <c r="H40" i="2"/>
  <c r="I40" i="2"/>
  <c r="J40" i="2"/>
  <c r="K40" i="2"/>
  <c r="L40" i="2"/>
  <c r="M40" i="2"/>
  <c r="D41" i="2"/>
  <c r="E41" i="2"/>
  <c r="F41" i="2"/>
  <c r="G41" i="2"/>
  <c r="H41" i="2"/>
  <c r="I41" i="2"/>
  <c r="J41" i="2"/>
  <c r="K41" i="2"/>
  <c r="L41" i="2"/>
  <c r="M41" i="2"/>
  <c r="D42" i="2"/>
  <c r="E42" i="2"/>
  <c r="F42" i="2"/>
  <c r="G42" i="2"/>
  <c r="H42" i="2"/>
  <c r="I42" i="2"/>
  <c r="J42" i="2"/>
  <c r="K42" i="2"/>
  <c r="L42" i="2"/>
  <c r="M42" i="2"/>
  <c r="D43" i="2"/>
  <c r="E43" i="2"/>
  <c r="F43" i="2"/>
  <c r="G43" i="2"/>
  <c r="H43" i="2"/>
  <c r="I43" i="2"/>
  <c r="J43" i="2"/>
  <c r="K43" i="2"/>
  <c r="L43" i="2"/>
  <c r="M43" i="2"/>
  <c r="D44" i="2"/>
  <c r="E44" i="2"/>
  <c r="F44" i="2"/>
  <c r="G44" i="2"/>
  <c r="H44" i="2"/>
  <c r="I44" i="2"/>
  <c r="J44" i="2"/>
  <c r="K44" i="2"/>
  <c r="L44" i="2"/>
  <c r="M44" i="2"/>
  <c r="D45" i="2"/>
  <c r="E45" i="2"/>
  <c r="F45" i="2"/>
  <c r="G45" i="2"/>
  <c r="H45" i="2"/>
  <c r="I45" i="2"/>
  <c r="J45" i="2"/>
  <c r="K45" i="2"/>
  <c r="L45" i="2"/>
  <c r="M45" i="2"/>
  <c r="D46" i="2"/>
  <c r="E46" i="2"/>
  <c r="F46" i="2"/>
  <c r="G46" i="2"/>
  <c r="H46" i="2"/>
  <c r="I46" i="2"/>
  <c r="J46" i="2"/>
  <c r="K46" i="2"/>
  <c r="L46" i="2"/>
  <c r="M46" i="2"/>
  <c r="D47" i="2"/>
  <c r="E47" i="2"/>
  <c r="F47" i="2"/>
  <c r="G47" i="2"/>
  <c r="H47" i="2"/>
  <c r="I47" i="2"/>
  <c r="J47" i="2"/>
  <c r="K47" i="2"/>
  <c r="L47" i="2"/>
  <c r="M47" i="2"/>
  <c r="D48" i="2"/>
  <c r="E48" i="2"/>
  <c r="F48" i="2"/>
  <c r="G48" i="2"/>
  <c r="H48" i="2"/>
  <c r="I48" i="2"/>
  <c r="J48" i="2"/>
  <c r="K48" i="2"/>
  <c r="L48" i="2"/>
  <c r="M48" i="2"/>
  <c r="D49" i="2"/>
  <c r="E49" i="2"/>
  <c r="F49" i="2"/>
  <c r="G49" i="2"/>
  <c r="H49" i="2"/>
  <c r="I49" i="2"/>
  <c r="J49" i="2"/>
  <c r="K49" i="2"/>
  <c r="L49" i="2"/>
  <c r="M49" i="2"/>
  <c r="D50" i="2"/>
  <c r="E50" i="2"/>
  <c r="F50" i="2"/>
  <c r="G50" i="2"/>
  <c r="H50" i="2"/>
  <c r="I50" i="2"/>
  <c r="J50" i="2"/>
  <c r="K50" i="2"/>
  <c r="L50" i="2"/>
  <c r="M50" i="2"/>
  <c r="D51" i="2"/>
  <c r="E51" i="2"/>
  <c r="F51" i="2"/>
  <c r="G51" i="2"/>
  <c r="H51" i="2"/>
  <c r="I51" i="2"/>
  <c r="J51" i="2"/>
  <c r="K51" i="2"/>
  <c r="L51" i="2"/>
  <c r="M51" i="2"/>
  <c r="D52" i="2"/>
  <c r="E52" i="2"/>
  <c r="F52" i="2"/>
  <c r="G52" i="2"/>
  <c r="H52" i="2"/>
  <c r="I52" i="2"/>
  <c r="J52" i="2"/>
  <c r="K52" i="2"/>
  <c r="L52" i="2"/>
  <c r="M52" i="2"/>
  <c r="D53" i="2"/>
  <c r="E53" i="2"/>
  <c r="F53" i="2"/>
  <c r="G53" i="2"/>
  <c r="H53" i="2"/>
  <c r="I53" i="2"/>
  <c r="J53" i="2"/>
  <c r="K53" i="2"/>
  <c r="L53" i="2"/>
  <c r="M53" i="2"/>
  <c r="D54" i="2"/>
  <c r="E54" i="2"/>
  <c r="F54" i="2"/>
  <c r="G54" i="2"/>
  <c r="H54" i="2"/>
  <c r="I54" i="2"/>
  <c r="J54" i="2"/>
  <c r="K54" i="2"/>
  <c r="L54" i="2"/>
  <c r="M54" i="2"/>
  <c r="E37" i="2"/>
  <c r="F37" i="2"/>
  <c r="G37" i="2"/>
  <c r="H37" i="2"/>
  <c r="I37" i="2"/>
  <c r="J37" i="2"/>
  <c r="K37" i="2"/>
  <c r="K3" i="2" s="1"/>
  <c r="L37" i="2"/>
  <c r="L3" i="2" s="1"/>
  <c r="M37" i="2"/>
  <c r="D37" i="2"/>
  <c r="C6" i="5" l="1"/>
  <c r="K6" i="5"/>
  <c r="L7" i="5"/>
  <c r="C4" i="5"/>
  <c r="K4" i="5"/>
  <c r="K7" i="5"/>
  <c r="E8" i="3"/>
  <c r="F6" i="3"/>
  <c r="I6" i="3"/>
  <c r="C11" i="3"/>
  <c r="K6" i="3" s="1"/>
  <c r="H6" i="3"/>
  <c r="J6" i="3"/>
  <c r="F8" i="3"/>
  <c r="D4" i="3"/>
  <c r="C9" i="3"/>
  <c r="L4" i="3" s="1"/>
  <c r="C13" i="3"/>
  <c r="K8" i="3" s="1"/>
  <c r="I7" i="3"/>
  <c r="G7" i="3"/>
  <c r="I8" i="3"/>
  <c r="C12" i="3"/>
  <c r="K7" i="3" s="1"/>
  <c r="H8" i="3"/>
  <c r="E6" i="3"/>
  <c r="F4" i="3"/>
  <c r="A21" i="3"/>
  <c r="F2" i="3"/>
  <c r="H7" i="3"/>
  <c r="A17" i="3"/>
  <c r="E2" i="3"/>
  <c r="J2" i="3"/>
  <c r="J7" i="3"/>
  <c r="G8" i="3"/>
  <c r="A15" i="3"/>
  <c r="L2" i="3"/>
  <c r="A25" i="3"/>
  <c r="D2" i="3"/>
  <c r="I2" i="3"/>
  <c r="G2" i="3"/>
  <c r="F7" i="3"/>
  <c r="J8" i="3"/>
  <c r="A30" i="3"/>
  <c r="H2" i="3"/>
  <c r="M2" i="3"/>
  <c r="D6" i="3"/>
  <c r="H4" i="3"/>
  <c r="I4" i="3"/>
  <c r="J4" i="3"/>
  <c r="D8" i="3"/>
  <c r="C4" i="3"/>
  <c r="G6" i="3"/>
  <c r="G4" i="3"/>
  <c r="E4" i="3"/>
  <c r="C7" i="3"/>
  <c r="C13" i="2"/>
  <c r="L8" i="2" s="1"/>
  <c r="C12" i="2"/>
  <c r="L7" i="2" s="1"/>
  <c r="C11" i="2"/>
  <c r="L6" i="2" s="1"/>
  <c r="H4" i="2"/>
  <c r="L4" i="2"/>
  <c r="E4" i="2"/>
  <c r="H3" i="2"/>
  <c r="N6" i="1"/>
  <c r="N5" i="1"/>
  <c r="N4" i="1"/>
  <c r="N3" i="1"/>
  <c r="Q3" i="1"/>
  <c r="P3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H21" i="1"/>
  <c r="H20" i="1"/>
  <c r="H18" i="1"/>
  <c r="H19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G21" i="1"/>
  <c r="G20" i="1"/>
  <c r="G19" i="1"/>
  <c r="G18" i="1"/>
  <c r="G17" i="1"/>
  <c r="F21" i="1"/>
  <c r="F20" i="1"/>
  <c r="F19" i="1"/>
  <c r="F18" i="1"/>
  <c r="F17" i="1"/>
  <c r="G15" i="1"/>
  <c r="G14" i="1"/>
  <c r="G13" i="1"/>
  <c r="G12" i="1"/>
  <c r="G16" i="1"/>
  <c r="F16" i="1"/>
  <c r="F15" i="1"/>
  <c r="F14" i="1"/>
  <c r="F13" i="1"/>
  <c r="F12" i="1"/>
  <c r="G11" i="1"/>
  <c r="G10" i="1"/>
  <c r="G9" i="1"/>
  <c r="G8" i="1"/>
  <c r="F11" i="1"/>
  <c r="F10" i="1"/>
  <c r="F9" i="1"/>
  <c r="F8" i="1"/>
  <c r="G7" i="1"/>
  <c r="G6" i="1"/>
  <c r="G5" i="1"/>
  <c r="G4" i="1"/>
  <c r="F7" i="1"/>
  <c r="F6" i="1"/>
  <c r="F5" i="1"/>
  <c r="F4" i="1"/>
  <c r="E21" i="1"/>
  <c r="E20" i="1"/>
  <c r="E19" i="1"/>
  <c r="E18" i="1"/>
  <c r="E17" i="1"/>
  <c r="D21" i="1"/>
  <c r="D20" i="1"/>
  <c r="D19" i="1"/>
  <c r="D18" i="1"/>
  <c r="D17" i="1"/>
  <c r="A30" i="2" l="1"/>
  <c r="A15" i="2"/>
  <c r="C5" i="2"/>
  <c r="C6" i="3"/>
  <c r="L6" i="3"/>
  <c r="L7" i="3"/>
  <c r="K4" i="3"/>
  <c r="L8" i="3"/>
  <c r="C8" i="3"/>
  <c r="K7" i="2"/>
  <c r="K8" i="2"/>
  <c r="K6" i="2"/>
  <c r="K4" i="2"/>
  <c r="A17" i="2"/>
  <c r="A25" i="2"/>
  <c r="C7" i="2"/>
  <c r="E2" i="2"/>
  <c r="I2" i="2"/>
  <c r="M2" i="2"/>
  <c r="C4" i="2"/>
  <c r="K2" i="2"/>
  <c r="C6" i="2"/>
  <c r="C8" i="2"/>
  <c r="F2" i="2"/>
  <c r="J2" i="2"/>
  <c r="D2" i="2"/>
  <c r="G2" i="2"/>
  <c r="H2" i="2"/>
  <c r="L2" i="2"/>
  <c r="A21" i="2"/>
  <c r="E8" i="1"/>
  <c r="E7" i="1"/>
  <c r="E6" i="1"/>
  <c r="E5" i="1"/>
  <c r="E11" i="1"/>
  <c r="E10" i="1"/>
  <c r="E9" i="1"/>
  <c r="E13" i="1"/>
  <c r="E14" i="1"/>
  <c r="E15" i="1"/>
  <c r="E16" i="1"/>
  <c r="D16" i="1"/>
  <c r="E12" i="1"/>
  <c r="D15" i="1"/>
  <c r="D14" i="1"/>
  <c r="D13" i="1"/>
  <c r="D12" i="1"/>
  <c r="D11" i="1"/>
  <c r="D10" i="1"/>
  <c r="D9" i="1"/>
  <c r="D8" i="1"/>
  <c r="D7" i="1"/>
  <c r="D6" i="1"/>
  <c r="D5" i="1"/>
  <c r="E4" i="1"/>
  <c r="D4" i="1"/>
  <c r="E3" i="1"/>
  <c r="X35" i="1"/>
  <c r="X36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tc={B58363C0-0397-4041-B59D-561F75D03D67}</author>
  </authors>
  <commentList>
    <comment ref="J4" authorId="0" shapeId="0" xr:uid="{B58363C0-0397-4041-B59D-561F75D03D67}">
      <text>
        <t>[Threaded comment]
Your version of Excel allows you to read this threaded comment; however, any edits to it will get removed if the file is opened in a newer version of Excel. Learn more: https://go.microsoft.com/fwlink/?linkid=870924
Comment:
    100%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tc={5BE671FA-CB43-4ED2-9890-B2CF7F4765B5}</author>
  </authors>
  <commentList>
    <comment ref="J4" authorId="0" shapeId="0" xr:uid="{5BE671FA-CB43-4ED2-9890-B2CF7F4765B5}">
      <text>
        <t>[Threaded comment]
Your version of Excel allows you to read this threaded comment; however, any edits to it will get removed if the file is opened in a newer version of Excel. Learn more: https://go.microsoft.com/fwlink/?linkid=870924
Comment:
    100%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tc={61028536-A8D5-4828-A2B8-F5ACFBE2BF9A}</author>
  </authors>
  <commentList>
    <comment ref="J4" authorId="0" shapeId="0" xr:uid="{61028536-A8D5-4828-A2B8-F5ACFBE2BF9A}">
      <text>
        <t>[Threaded comment]
Your version of Excel allows you to read this threaded comment; however, any edits to it will get removed if the file is opened in a newer version of Excel. Learn more: https://go.microsoft.com/fwlink/?linkid=870924
Comment:
    100%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tc={EE683D13-44F3-4A97-A4AF-3EDB73EAB6C6}</author>
    <author>tc={83BE8BD3-C6DC-4DFD-85BF-0F731F95443E}</author>
  </authors>
  <commentList>
    <comment ref="J4" authorId="0" shapeId="0" xr:uid="{EE683D13-44F3-4A97-A4AF-3EDB73EAB6C6}">
      <text>
        <t>[Threaded comment]
Your version of Excel allows you to read this threaded comment; however, any edits to it will get removed if the file is opened in a newer version of Excel. Learn more: https://go.microsoft.com/fwlink/?linkid=870924
Comment:
    100%</t>
      </text>
    </comment>
    <comment ref="P37" authorId="1" shapeId="0" xr:uid="{83BE8BD3-C6DC-4DFD-85BF-0F731F95443E}">
      <text>
        <t>[Threaded comment]
Your version of Excel allows you to read this threaded comment; however, any edits to it will get removed if the file is opened in a newer version of Excel. Learn more: https://go.microsoft.com/fwlink/?linkid=870924
Comment:
    forgot to remove 2 errors
Reply:
    use this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tc={E5CFCBC1-7758-4F54-8D0A-ABDFCDFA61FA}</author>
  </authors>
  <commentList>
    <comment ref="J4" authorId="0" shapeId="0" xr:uid="{E5CFCBC1-7758-4F54-8D0A-ABDFCDFA61FA}">
      <text>
        <t>[Threaded comment]
Your version of Excel allows you to read this threaded comment; however, any edits to it will get removed if the file is opened in a newer version of Excel. Learn more: https://go.microsoft.com/fwlink/?linkid=870924
Comment:
    100%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tc={6C7A5710-68B9-4120-9E73-DB2EB7EFBED7}</author>
  </authors>
  <commentList>
    <comment ref="J4" authorId="0" shapeId="0" xr:uid="{6C7A5710-68B9-4120-9E73-DB2EB7EFBED7}">
      <text>
        <t>[Threaded comment]
Your version of Excel allows you to read this threaded comment; however, any edits to it will get removed if the file is opened in a newer version of Excel. Learn more: https://go.microsoft.com/fwlink/?linkid=870924
Comment:
    100%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tc={62C9B074-41B5-4509-8E83-E4A179974B1B}</author>
    <author>tc={B776D4DF-4AF5-4584-848A-806A2BC79D6B}</author>
    <author>tc={93C7E53B-2299-4536-8B7F-BC8CE0E5D3A9}</author>
    <author>tc={4424A919-2A75-49E0-8F16-8ACC87B1C6A8}</author>
    <author>tc={E85387DA-1E01-45E6-859F-5B8C6C58B809}</author>
    <author>tc={97D95C82-0F74-450A-B9FC-6AE576FAAAA0}</author>
    <author>tc={2A4E38AA-6B0F-4D50-9F45-62F2D7C54955}</author>
    <author>tc={408ED925-1CBF-450F-82D7-B8CF92A512FA}</author>
    <author>tc={881210D6-2697-4A61-A061-A3A3D4A7677A}</author>
    <author>tc={C8F4ABF7-D4CE-4B0D-9131-96C5555E156F}</author>
    <author>tc={EAB726E5-A234-4701-BEE4-FC28394EC685}</author>
  </authors>
  <commentList>
    <comment ref="B5" authorId="0" shapeId="0" xr:uid="{62C9B074-41B5-4509-8E83-E4A179974B1B}">
      <text>
        <t>[Threaded comment]
Your version of Excel allows you to read this threaded comment; however, any edits to it will get removed if the file is opened in a newer version of Excel. Learn more: https://go.microsoft.com/fwlink/?linkid=870924
Comment:
    Horse Riding Used, phone use not documented as an activity</t>
      </text>
    </comment>
    <comment ref="B9" authorId="1" shapeId="0" xr:uid="{B776D4DF-4AF5-4584-848A-806A2BC79D6B}">
      <text>
        <t>[Threaded comment]
Your version of Excel allows you to read this threaded comment; however, any edits to it will get removed if the file is opened in a newer version of Excel. Learn more: https://go.microsoft.com/fwlink/?linkid=870924
Comment:
    Horse Riding Used, phone use not documented as an activity</t>
      </text>
    </comment>
    <comment ref="B13" authorId="2" shapeId="0" xr:uid="{93C7E53B-2299-4536-8B7F-BC8CE0E5D3A9}">
      <text>
        <t>[Threaded comment]
Your version of Excel allows you to read this threaded comment; however, any edits to it will get removed if the file is opened in a newer version of Excel. Learn more: https://go.microsoft.com/fwlink/?linkid=870924
Comment:
    Horse Riding Used, phone use not documented as an activity</t>
      </text>
    </comment>
    <comment ref="B18" authorId="3" shapeId="0" xr:uid="{4424A919-2A75-49E0-8F16-8ACC87B1C6A8}">
      <text>
        <t>[Threaded comment]
Your version of Excel allows you to read this threaded comment; however, any edits to it will get removed if the file is opened in a newer version of Excel. Learn more: https://go.microsoft.com/fwlink/?linkid=870924
Comment:
    Horse Riding Used, phone use not documented as an activity</t>
      </text>
    </comment>
    <comment ref="B23" authorId="4" shapeId="0" xr:uid="{E85387DA-1E01-45E6-859F-5B8C6C58B809}">
      <text>
        <t>[Threaded comment]
Your version of Excel allows you to read this threaded comment; however, any edits to it will get removed if the file is opened in a newer version of Excel. Learn more: https://go.microsoft.com/fwlink/?linkid=870924
Comment:
    M - Male, F - Female</t>
      </text>
    </comment>
    <comment ref="C23" authorId="5" shapeId="0" xr:uid="{97D95C82-0F74-450A-B9FC-6AE576FAAAA0}">
      <text>
        <t>[Threaded comment]
Your version of Excel allows you to read this threaded comment; however, any edits to it will get removed if the file is opened in a newer version of Excel. Learn more: https://go.microsoft.com/fwlink/?linkid=870924
Comment:
    I - Infant, C - Child, T - Teen, A - Adult, OA - Older Adult</t>
      </text>
    </comment>
    <comment ref="D23" authorId="6" shapeId="0" xr:uid="{2A4E38AA-6B0F-4D50-9F45-62F2D7C54955}">
      <text>
        <t>[Threaded comment]
Your version of Excel allows you to read this threaded comment; however, any edits to it will get removed if the file is opened in a newer version of Excel. Learn more: https://go.microsoft.com/fwlink/?linkid=870924
Comment:
    W - White Ethnicity, OE - Other Ethnicity</t>
      </text>
    </comment>
    <comment ref="E23" authorId="7" shapeId="0" xr:uid="{408ED925-1CBF-450F-82D7-B8CF92A512FA}">
      <text>
        <t>[Threaded comment]
Your version of Excel allows you to read this threaded comment; however, any edits to it will get removed if the file is opened in a newer version of Excel. Learn more: https://go.microsoft.com/fwlink/?linkid=870924
Comment:
    C - Cycling, UP - Using Phone/Horse Riding, DW - Dog Walking, WR - Walk/Run, S - eScooter</t>
      </text>
    </comment>
    <comment ref="F23" authorId="8" shapeId="0" xr:uid="{881210D6-2697-4A61-A061-A3A3D4A7677A}">
      <text>
        <t>[Threaded comment]
Your version of Excel allows you to read this threaded comment; however, any edits to it will get removed if the file is opened in a newer version of Excel. Learn more: https://go.microsoft.com/fwlink/?linkid=870924
Comment:
    Sed - Sedentary, Walk - Walking, Vig - Vigorous</t>
      </text>
    </comment>
    <comment ref="G23" authorId="9" shapeId="0" xr:uid="{C8F4ABF7-D4CE-4B0D-9131-96C5555E156F}">
      <text>
        <t>[Threaded comment]
Your version of Excel allows you to read this threaded comment; however, any edits to it will get removed if the file is opened in a newer version of Excel. Learn more: https://go.microsoft.com/fwlink/?linkid=870924
Comment:
    TC - Taking Notice, Con - Connecting with Others</t>
      </text>
    </comment>
    <comment ref="J23" authorId="10" shapeId="0" xr:uid="{EAB726E5-A234-4701-BEE4-FC28394EC685}">
      <text>
        <t>[Threaded comment]
Your version of Excel allows you to read this threaded comment; however, any edits to it will get removed if the file is opened in a newer version of Excel. Learn more: https://go.microsoft.com/fwlink/?linkid=870924
Comment:
    DC - Coming from Delapre County Park, ED - Coming from Eagle Drive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tc={F96DD577-4864-41F9-BE2B-36D4589630A4}</author>
  </authors>
  <commentList>
    <comment ref="J4" authorId="0" shapeId="0" xr:uid="{F96DD577-4864-41F9-BE2B-36D4589630A4}">
      <text>
        <t>[Threaded comment]
Your version of Excel allows you to read this threaded comment; however, any edits to it will get removed if the file is opened in a newer version of Excel. Learn more: https://go.microsoft.com/fwlink/?linkid=870924
Comment:
    100%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tc={6BAEB655-A2B3-440F-88FD-B3DF9A35D388}</author>
    <author>tc={3F5E696E-B2EC-456F-85A3-8ECAF6230631}</author>
    <author>tc={C8DF7687-6069-45F4-803A-4A3272DEE4B0}</author>
    <author>tc={D11A7D44-94FD-47DE-8F9C-80F9458C50CF}</author>
  </authors>
  <commentList>
    <comment ref="G15" authorId="0" shapeId="0" xr:uid="{6BAEB655-A2B3-440F-88FD-B3DF9A35D388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https://www.wunderground.com/dashboard/pws/INORTH369/graph/2021-05-8/2021-05-8/daily</t>
      </text>
    </comment>
    <comment ref="J15" authorId="1" shapeId="0" xr:uid="{3F5E696E-B2EC-456F-85A3-8ECAF6230631}">
      <text>
        <t>[Threaded comment]
Your version of Excel allows you to read this threaded comment; however, any edits to it will get removed if the file is opened in a newer version of Excel. Learn more: https://go.microsoft.com/fwlink/?linkid=870924
Comment:
    IN - into Delapre County Park, OUT - towards Eagle Drive</t>
      </text>
    </comment>
    <comment ref="M15" authorId="2" shapeId="0" xr:uid="{C8DF7687-6069-45F4-803A-4A3272DEE4B0}">
      <text>
        <t>[Threaded comment]
Your version of Excel allows you to read this threaded comment; however, any edits to it will get removed if the file is opened in a newer version of Excel. Learn more: https://go.microsoft.com/fwlink/?linkid=870924
Comment:
    IN - towards Delapre Lake</t>
      </text>
    </comment>
    <comment ref="Q15" authorId="3" shapeId="0" xr:uid="{D11A7D44-94FD-47DE-8F9C-80F9458C50CF}">
      <text>
        <t>[Threaded comment]
Your version of Excel allows you to read this threaded comment; however, any edits to it will get removed if the file is opened in a newer version of Excel. Learn more: https://go.microsoft.com/fwlink/?linkid=870924
Comment:
    OUT - Towards Delapre Abbey</t>
      </text>
    </comment>
  </commentList>
</comments>
</file>

<file path=xl/sharedStrings.xml><?xml version="1.0" encoding="utf-8"?>
<sst xmlns="http://schemas.openxmlformats.org/spreadsheetml/2006/main" count="4979" uniqueCount="199">
  <si>
    <t>Person</t>
  </si>
  <si>
    <t>Gender</t>
  </si>
  <si>
    <t>Ethnicity</t>
  </si>
  <si>
    <t>Female</t>
  </si>
  <si>
    <t>Male</t>
  </si>
  <si>
    <t>Infant</t>
  </si>
  <si>
    <t>Child</t>
  </si>
  <si>
    <t>Teen</t>
  </si>
  <si>
    <t>Adult</t>
  </si>
  <si>
    <t>Older Adult</t>
  </si>
  <si>
    <t>White</t>
  </si>
  <si>
    <t>Cycling</t>
  </si>
  <si>
    <t>W</t>
  </si>
  <si>
    <t>Walk/Run</t>
  </si>
  <si>
    <t>Mobility Assistance</t>
  </si>
  <si>
    <t>Group</t>
  </si>
  <si>
    <t>21st March 2022</t>
  </si>
  <si>
    <t xml:space="preserve">Other Ethnicity </t>
  </si>
  <si>
    <t>Dog Walking</t>
  </si>
  <si>
    <t>Sedentary</t>
  </si>
  <si>
    <t>Walking</t>
  </si>
  <si>
    <t>Vigorous</t>
  </si>
  <si>
    <t>Taking Notice</t>
  </si>
  <si>
    <t>Connecting</t>
  </si>
  <si>
    <t xml:space="preserve">Mobility Assistance </t>
  </si>
  <si>
    <t>M</t>
  </si>
  <si>
    <t>A</t>
  </si>
  <si>
    <t>WR</t>
  </si>
  <si>
    <t>DC</t>
  </si>
  <si>
    <t>ED</t>
  </si>
  <si>
    <t>Gender (M/F)</t>
  </si>
  <si>
    <t>Age</t>
  </si>
  <si>
    <t>Age (I/C/T/A/OA</t>
  </si>
  <si>
    <t>Ethnicity (W/OE)</t>
  </si>
  <si>
    <t>Activity Type</t>
  </si>
  <si>
    <t>Activity Type (C,UP,DW,WR,S)</t>
  </si>
  <si>
    <t>Activity Level</t>
  </si>
  <si>
    <t>Activty Level (Sed/Walk/Vig</t>
  </si>
  <si>
    <t>Wellbeing (TC/Con)</t>
  </si>
  <si>
    <t>Group Size</t>
  </si>
  <si>
    <t>Direction (DC/ED)</t>
  </si>
  <si>
    <t>Delapre</t>
  </si>
  <si>
    <t>08:30 - 09:30</t>
  </si>
  <si>
    <t>Sum</t>
  </si>
  <si>
    <t>Min</t>
  </si>
  <si>
    <t>Max</t>
  </si>
  <si>
    <t>Avg</t>
  </si>
  <si>
    <t>11:30 -12:30</t>
  </si>
  <si>
    <t>14:30 -15:30</t>
  </si>
  <si>
    <t>General Litter</t>
  </si>
  <si>
    <t>Noticable</t>
  </si>
  <si>
    <t>Alcohol Use</t>
  </si>
  <si>
    <t>Drug Taking</t>
  </si>
  <si>
    <t>Graffiti</t>
  </si>
  <si>
    <t>Broken Glass</t>
  </si>
  <si>
    <t>Vandalism</t>
  </si>
  <si>
    <t>Dog Mess</t>
  </si>
  <si>
    <t>Noise</t>
  </si>
  <si>
    <t>Weather</t>
  </si>
  <si>
    <t>None</t>
  </si>
  <si>
    <t>Hardly Noticable</t>
  </si>
  <si>
    <t>Sunny</t>
  </si>
  <si>
    <t>17:30 - 18:30</t>
  </si>
  <si>
    <t>Sunny/Cold</t>
  </si>
  <si>
    <t>adult horse</t>
  </si>
  <si>
    <t>teen horse</t>
  </si>
  <si>
    <t>SUM</t>
  </si>
  <si>
    <t>Total (n)</t>
  </si>
  <si>
    <t>Total (% of total - infant)</t>
  </si>
  <si>
    <t>Horse</t>
  </si>
  <si>
    <t>Female: 29%, Male: 71%, White: 76%, BAME: 24%</t>
  </si>
  <si>
    <t>Female: 36%, Male: 64%, White: 77%, BAME: 23%</t>
  </si>
  <si>
    <t>Horse Riding</t>
  </si>
  <si>
    <t>Riding a Bike</t>
  </si>
  <si>
    <t>eScooter</t>
  </si>
  <si>
    <t>Walking and Running</t>
  </si>
  <si>
    <t>Female: 100%, Male: 0%, White: 100%, BAME: 0%</t>
  </si>
  <si>
    <t>Female: 70%, Male: 30%, White: 100%, BAME: 0%</t>
  </si>
  <si>
    <t>Female: 29%, Male: 71%, White: 71%, BAME: 29%</t>
  </si>
  <si>
    <t>St Crispins</t>
  </si>
  <si>
    <t>08:30 -09:30</t>
  </si>
  <si>
    <t>11:30 - 12:30</t>
  </si>
  <si>
    <t>14:30 - 15:30</t>
  </si>
  <si>
    <t>Non</t>
  </si>
  <si>
    <t>Hunsbury</t>
  </si>
  <si>
    <t>Female: 44%, Male: 56%, White: 44%, BAME: 56%</t>
  </si>
  <si>
    <t>Female: 0%, Male: 0%, White: 0%, BAME: 0%</t>
  </si>
  <si>
    <t>Female: 54%, Male: 46%, White: 98%, BAME: 2%</t>
  </si>
  <si>
    <t>Female: 61%, Male: 39%, White: 83%, BAME: 17%</t>
  </si>
  <si>
    <t>Female: 0%, Male: 100%, White: 100%, BAME: 0%</t>
  </si>
  <si>
    <t>St crispins</t>
  </si>
  <si>
    <t>C</t>
  </si>
  <si>
    <t>OE</t>
  </si>
  <si>
    <t>f</t>
  </si>
  <si>
    <t>m</t>
  </si>
  <si>
    <t>Hardly Norticable</t>
  </si>
  <si>
    <t>Female: 20%, Male: 80%, White: 100%, BAME: 0%</t>
  </si>
  <si>
    <t>Female: 63%, Male: 37%, White: 100%, BAME: 0%</t>
  </si>
  <si>
    <t>Female: 39%, Male: 61%, White: 94%, BAME: 6%</t>
  </si>
  <si>
    <t>Female: 50%, Male: 50%, White: 100%, BAME: 0%</t>
  </si>
  <si>
    <t>Sun</t>
  </si>
  <si>
    <t>Female: 33%, Male: 67%, White: 100%, BAME: 0%</t>
  </si>
  <si>
    <t>Female: 55%, Male: 45%, White: 98%, BAME: 2%</t>
  </si>
  <si>
    <t>Female: 41%, Male: 59%, White: 89%, BAME: 11%</t>
  </si>
  <si>
    <t>WALK</t>
  </si>
  <si>
    <t>VIG</t>
  </si>
  <si>
    <t>CON</t>
  </si>
  <si>
    <t xml:space="preserve"> 17:30 - 18:30</t>
  </si>
  <si>
    <t>Female: 34%, Male: 66%, White: 100%, BAME: 0%</t>
  </si>
  <si>
    <t>Female: 51%, Male: 49%, White: 99%, BAME: 1%</t>
  </si>
  <si>
    <t>Female: 47%, Male: 53%, White: 92%, BAME: 8%</t>
  </si>
  <si>
    <t>horse</t>
  </si>
  <si>
    <t>Female: 6%, Male: 94%, White: 94%, BAME: 6%</t>
  </si>
  <si>
    <t>Female: 54%, Male: 46%, White: 89%, BAME: 11%</t>
  </si>
  <si>
    <t>Female: 0%, Male: 100%, White: 0%, BAME: 100%</t>
  </si>
  <si>
    <t>F</t>
  </si>
  <si>
    <t>S</t>
  </si>
  <si>
    <t>SED</t>
  </si>
  <si>
    <t>T</t>
  </si>
  <si>
    <t>OA</t>
  </si>
  <si>
    <t>Sed</t>
  </si>
  <si>
    <t>Appearance</t>
  </si>
  <si>
    <t>Demographic Summary of Activities - Data Labels</t>
  </si>
  <si>
    <t>Average Temp ( C)</t>
  </si>
  <si>
    <t>Average Wind (mph)</t>
  </si>
  <si>
    <t>Total Rain (in)</t>
  </si>
  <si>
    <t xml:space="preserve">Mean </t>
  </si>
  <si>
    <t>Standard Deviation</t>
  </si>
  <si>
    <t>Date</t>
  </si>
  <si>
    <t>Coming from Delapre County Park (DC)</t>
  </si>
  <si>
    <t>Coming from Eagle Drive (ED)</t>
  </si>
  <si>
    <t>(n)</t>
  </si>
  <si>
    <t>Units of Measurement</t>
  </si>
  <si>
    <t>Summary Table</t>
  </si>
  <si>
    <t>Group (n)</t>
  </si>
  <si>
    <t>Provisional Summary Table</t>
  </si>
  <si>
    <t>Mean</t>
  </si>
  <si>
    <t>Observer 1</t>
  </si>
  <si>
    <t>Observer 2</t>
  </si>
  <si>
    <t>Observer 3</t>
  </si>
  <si>
    <t>Observer 4</t>
  </si>
  <si>
    <t>Observer 5</t>
  </si>
  <si>
    <t>Observer 6</t>
  </si>
  <si>
    <t>Observer 7</t>
  </si>
  <si>
    <t>Observer 8</t>
  </si>
  <si>
    <t>Observer 9</t>
  </si>
  <si>
    <t>Horse Riding/Using Phone</t>
  </si>
  <si>
    <t>[insert location]</t>
  </si>
  <si>
    <t>[insert date]</t>
  </si>
  <si>
    <t>[insert time]</t>
  </si>
  <si>
    <t>Insert data here</t>
  </si>
  <si>
    <t>Input your written data into the observation form below. The summary table will automatically update. Copy and Paste the summary table for each observation period into a new summary sheet (a copy of the template summary).</t>
  </si>
  <si>
    <t xml:space="preserve">Appearance </t>
  </si>
  <si>
    <t>Observation Data for Delapre Park - DfT Active Travel Social Prescription Fund</t>
  </si>
  <si>
    <t>This data sheet provides the raw and summary observation data for Delapre Park, Hunsbury Hill, and St. Crispin's Park. MOHAWk observation tool was used to collect the data.</t>
  </si>
  <si>
    <t>Each sheet displays the data for a location. WD - Weekday data, WE - weekend data.</t>
  </si>
  <si>
    <t>Template sheets are provided to input data from hand-written observation forms. Reliability data is provided from a 30-minute observation period.</t>
  </si>
  <si>
    <t>SD</t>
  </si>
  <si>
    <t>Median</t>
  </si>
  <si>
    <t>IQ</t>
  </si>
  <si>
    <t>IQ1</t>
  </si>
  <si>
    <t>IQ3</t>
  </si>
  <si>
    <t>Average Temperature ( C)</t>
  </si>
  <si>
    <t>Weekday Mean</t>
  </si>
  <si>
    <t>Weekend Mean</t>
  </si>
  <si>
    <t>Weekday Standard Deviation</t>
  </si>
  <si>
    <t>Weekend Standard Deviation</t>
  </si>
  <si>
    <t>Week No.</t>
  </si>
  <si>
    <t>Week Day</t>
  </si>
  <si>
    <t>Phase</t>
  </si>
  <si>
    <t>Events</t>
  </si>
  <si>
    <t>Attendance</t>
  </si>
  <si>
    <t>Average Temp (centigrade)</t>
  </si>
  <si>
    <t>Total Precipitation (in)</t>
  </si>
  <si>
    <t>IN Segment 1</t>
  </si>
  <si>
    <t>IN Segment 3</t>
  </si>
  <si>
    <t>IN Segment 2</t>
  </si>
  <si>
    <t>IN Segment 5</t>
  </si>
  <si>
    <t>OUT Segment 1</t>
  </si>
  <si>
    <t>OUT Segment 3</t>
  </si>
  <si>
    <t>OUT Segment 2</t>
  </si>
  <si>
    <t>OUT Segment 5</t>
  </si>
  <si>
    <t>Mon</t>
  </si>
  <si>
    <t>Baseline</t>
  </si>
  <si>
    <t>Tue</t>
  </si>
  <si>
    <t>Wed</t>
  </si>
  <si>
    <t>Thu</t>
  </si>
  <si>
    <t>Fri</t>
  </si>
  <si>
    <t>Sat</t>
  </si>
  <si>
    <t>28/02/2022 00:00:00</t>
  </si>
  <si>
    <t>01/03/2022 00:00:00</t>
  </si>
  <si>
    <t>02/03/2022 00:00:00</t>
  </si>
  <si>
    <t>03/03/2022 00:00:00</t>
  </si>
  <si>
    <t>04/03/2022 00:00:00</t>
  </si>
  <si>
    <t>05/03/2022 00:00:00</t>
  </si>
  <si>
    <t>06/03/2022 00:00:00</t>
  </si>
  <si>
    <t>The maps below indicate the observation locations for visual and automated counts.</t>
  </si>
  <si>
    <t>Baseline Weekday (n)</t>
  </si>
  <si>
    <t>Baseline Weekend (n)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</si>
</sst>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6" x14ac:knownFonts="1">
    <font>
      <sz val="11"/>
      <color theme="1"/>
      <name val="Calibri"/>
      <family val="2"/>
      <scheme val="minor"/>
    </font>
    <font>
      <b/>
      <sz val="5"/>
      <color theme="1"/>
      <name val="Times New Roman"/>
      <family val="1"/>
    </font>
    <font>
      <b/>
      <sz val="5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02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0" fillId="0" borderId="1" xfId="0" applyFill="1" applyBorder="1"/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0" fillId="3" borderId="1" xfId="0" applyFill="1" applyBorder="1"/>
    <xf numFmtId="0" fontId="0" fillId="0" borderId="1" xfId="0" applyNumberFormat="1" applyBorder="1"/>
    <xf numFmtId="0" fontId="3" fillId="0" borderId="1" xfId="0" applyFont="1" applyBorder="1"/>
    <xf numFmtId="0" fontId="0" fillId="4" borderId="1" xfId="0" applyFill="1" applyBorder="1"/>
    <xf numFmtId="0" fontId="3" fillId="4" borderId="1" xfId="0" applyFont="1" applyFill="1" applyBorder="1"/>
    <xf numFmtId="0" fontId="0" fillId="5" borderId="1" xfId="0" applyFill="1" applyBorder="1"/>
    <xf numFmtId="9" fontId="0" fillId="5" borderId="1" xfId="1" applyFont="1" applyFill="1" applyBorder="1"/>
    <xf numFmtId="0" fontId="0" fillId="0" borderId="3" xfId="0" applyFill="1" applyBorder="1"/>
    <xf numFmtId="0" fontId="0" fillId="0" borderId="0" xfId="0" applyBorder="1"/>
    <xf numFmtId="22" fontId="0" fillId="0" borderId="0" xfId="0" applyNumberFormat="1" applyBorder="1"/>
    <xf numFmtId="0" fontId="3" fillId="0" borderId="0" xfId="0" applyFont="1" applyBorder="1"/>
    <xf numFmtId="15" fontId="3" fillId="0" borderId="0" xfId="0" applyNumberFormat="1" applyFont="1" applyBorder="1"/>
    <xf numFmtId="15" fontId="0" fillId="0" borderId="0" xfId="0" applyNumberFormat="1" applyBorder="1"/>
    <xf numFmtId="0" fontId="0" fillId="4" borderId="0" xfId="0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22" fontId="0" fillId="0" borderId="7" xfId="0" applyNumberFormat="1" applyBorder="1"/>
    <xf numFmtId="0" fontId="0" fillId="0" borderId="8" xfId="0" applyBorder="1"/>
    <xf numFmtId="22" fontId="0" fillId="0" borderId="9" xfId="0" applyNumberFormat="1" applyBorder="1"/>
    <xf numFmtId="0" fontId="0" fillId="0" borderId="10" xfId="0" applyBorder="1"/>
    <xf numFmtId="0" fontId="0" fillId="0" borderId="11" xfId="0" applyBorder="1"/>
    <xf numFmtId="0" fontId="0" fillId="0" borderId="20" xfId="0" applyBorder="1"/>
    <xf numFmtId="0" fontId="0" fillId="0" borderId="21" xfId="0" applyBorder="1"/>
    <xf numFmtId="14" fontId="0" fillId="0" borderId="1" xfId="0" applyNumberFormat="1" applyBorder="1"/>
    <xf numFmtId="0" fontId="0" fillId="0" borderId="22" xfId="0" applyBorder="1"/>
    <xf numFmtId="0" fontId="0" fillId="0" borderId="23" xfId="0" applyBorder="1"/>
    <xf numFmtId="0" fontId="3" fillId="5" borderId="1" xfId="0" applyFont="1" applyFill="1" applyBorder="1"/>
    <xf numFmtId="0" fontId="0" fillId="6" borderId="1" xfId="0" applyFill="1" applyBorder="1"/>
    <xf numFmtId="9" fontId="0" fillId="6" borderId="1" xfId="1" applyFont="1" applyFill="1" applyBorder="1"/>
    <xf numFmtId="1" fontId="0" fillId="6" borderId="1" xfId="1" applyNumberFormat="1" applyFont="1" applyFill="1" applyBorder="1"/>
    <xf numFmtId="9" fontId="0" fillId="7" borderId="1" xfId="1" applyFont="1" applyFill="1" applyBorder="1"/>
    <xf numFmtId="0" fontId="0" fillId="7" borderId="1" xfId="0" applyFill="1" applyBorder="1"/>
    <xf numFmtId="1" fontId="0" fillId="7" borderId="1" xfId="1" applyNumberFormat="1" applyFont="1" applyFill="1" applyBorder="1"/>
    <xf numFmtId="9" fontId="0" fillId="8" borderId="1" xfId="1" applyFont="1" applyFill="1" applyBorder="1"/>
    <xf numFmtId="0" fontId="0" fillId="8" borderId="1" xfId="0" applyFill="1" applyBorder="1"/>
    <xf numFmtId="1" fontId="0" fillId="8" borderId="1" xfId="0" applyNumberFormat="1" applyFill="1" applyBorder="1"/>
    <xf numFmtId="1" fontId="0" fillId="8" borderId="1" xfId="1" applyNumberFormat="1" applyFont="1" applyFill="1" applyBorder="1"/>
    <xf numFmtId="0" fontId="0" fillId="9" borderId="1" xfId="0" applyFill="1" applyBorder="1"/>
    <xf numFmtId="9" fontId="0" fillId="9" borderId="1" xfId="1" applyFont="1" applyFill="1" applyBorder="1"/>
    <xf numFmtId="0" fontId="0" fillId="10" borderId="1" xfId="0" applyFill="1" applyBorder="1"/>
    <xf numFmtId="9" fontId="0" fillId="10" borderId="1" xfId="1" applyFont="1" applyFill="1" applyBorder="1"/>
    <xf numFmtId="1" fontId="3" fillId="5" borderId="1" xfId="0" applyNumberFormat="1" applyFont="1" applyFill="1" applyBorder="1"/>
    <xf numFmtId="0" fontId="3" fillId="5" borderId="1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ill="1" applyBorder="1"/>
    <xf numFmtId="9" fontId="0" fillId="0" borderId="1" xfId="1" applyFont="1" applyBorder="1"/>
    <xf numFmtId="0" fontId="3" fillId="0" borderId="1" xfId="0" applyFont="1" applyFill="1" applyBorder="1" applyAlignment="1">
      <alignment wrapText="1"/>
    </xf>
    <xf numFmtId="0" fontId="3" fillId="0" borderId="24" xfId="0" applyFont="1" applyBorder="1"/>
    <xf numFmtId="0" fontId="0" fillId="0" borderId="24" xfId="0" applyBorder="1"/>
    <xf numFmtId="0" fontId="3" fillId="0" borderId="1" xfId="0" applyFont="1" applyBorder="1" applyAlignment="1">
      <alignment horizontal="center" vertical="center" wrapText="1"/>
    </xf>
    <xf numFmtId="0" fontId="3" fillId="0" borderId="21" xfId="0" applyFont="1" applyFill="1" applyBorder="1" applyAlignment="1">
      <alignment wrapText="1"/>
    </xf>
    <xf numFmtId="14" fontId="0" fillId="0" borderId="7" xfId="0" applyNumberFormat="1" applyBorder="1"/>
    <xf numFmtId="0" fontId="0" fillId="0" borderId="7" xfId="0" applyBorder="1"/>
    <xf numFmtId="0" fontId="0" fillId="0" borderId="9" xfId="0" applyBorder="1"/>
    <xf numFmtId="0" fontId="3" fillId="6" borderId="1" xfId="0" applyFont="1" applyFill="1" applyBorder="1"/>
    <xf numFmtId="15" fontId="0" fillId="0" borderId="0" xfId="0" applyNumberFormat="1" applyFont="1" applyBorder="1"/>
    <xf numFmtId="0" fontId="3" fillId="0" borderId="24" xfId="0" applyFont="1" applyBorder="1" applyAlignment="1">
      <alignment wrapText="1"/>
    </xf>
    <xf numFmtId="0" fontId="0" fillId="0" borderId="1" xfId="0" applyBorder="1" applyAlignment="1">
      <alignment wrapText="1"/>
    </xf>
    <xf numFmtId="9" fontId="0" fillId="0" borderId="24" xfId="1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11" borderId="16" xfId="0" applyFill="1" applyBorder="1" applyAlignment="1"/>
    <xf numFmtId="0" fontId="0" fillId="11" borderId="17" xfId="0" applyFill="1" applyBorder="1" applyAlignment="1"/>
    <xf numFmtId="0" fontId="0" fillId="11" borderId="18" xfId="0" applyFill="1" applyBorder="1" applyAlignment="1"/>
    <xf numFmtId="0" fontId="0" fillId="11" borderId="19" xfId="0" applyFill="1" applyBorder="1" applyAlignment="1"/>
    <xf numFmtId="0" fontId="0" fillId="11" borderId="0" xfId="0" applyFill="1" applyBorder="1" applyAlignment="1"/>
    <xf numFmtId="0" fontId="0" fillId="11" borderId="27" xfId="0" applyFill="1" applyBorder="1" applyAlignment="1"/>
    <xf numFmtId="0" fontId="0" fillId="11" borderId="25" xfId="0" applyFill="1" applyBorder="1" applyAlignment="1"/>
    <xf numFmtId="0" fontId="0" fillId="11" borderId="12" xfId="0" applyFill="1" applyBorder="1" applyAlignment="1"/>
    <xf numFmtId="0" fontId="0" fillId="11" borderId="28" xfId="0" applyFill="1" applyBorder="1" applyAlignment="1"/>
    <xf numFmtId="0" fontId="0" fillId="11" borderId="0" xfId="0" applyFill="1"/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3" fillId="11" borderId="0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left" vertical="top" wrapText="1"/>
    </xf>
    <xf numFmtId="0" fontId="0" fillId="11" borderId="0" xfId="0" applyFill="1" applyBorder="1" applyAlignment="1">
      <alignment horizontal="left" vertical="top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948958407226122"/>
          <c:y val="0.16486555715661214"/>
          <c:w val="0.39699680783145352"/>
          <c:h val="0.664488300941225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B-4D5E-91D6-8E9BDD625F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5C0B-4D5E-91D6-8E9BDD625F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B-4D5E-91D6-8E9BDD625F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5C0B-4D5E-91D6-8E9BDD625F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B-4D5E-91D6-8E9BDD625F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224A85F-5AE1-4F9C-85D8-48C395E2749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1DD32A9-A25A-4D87-92E4-D9B0CA5D053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C0B-4D5E-91D6-8E9BDD625F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3CCC8F3-CC91-4AC3-9322-279E64A15B0B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9C78FEF-2CCE-42D5-BD67-24EC8C638923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C0B-4D5E-91D6-8E9BDD625F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4C6A428-013E-487C-B6E2-F11FB676ACD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B706DD32-D217-4D67-AF01-C3427F9809D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C0B-4D5E-91D6-8E9BDD625F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A726B2-63F0-4C3D-ADAD-3FD2681C10E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90A5A1EA-B5D2-43E3-AB75-5AA0914F4F1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C0B-4D5E-91D6-8E9BDD625F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0A3D214-B9DF-4238-B58A-7829D6D4AA49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4518746-75CB-4F77-B1CE-527163DE3CE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C0B-4D5E-91D6-8E9BDD625FA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'Delapre WD'!$B$4:$B$8</c:f>
              <c:strCache>
                <c:ptCount val="5"/>
                <c:pt idx="0">
                  <c:v>Riding a Bike</c:v>
                </c:pt>
                <c:pt idx="1">
                  <c:v>Horse Riding</c:v>
                </c:pt>
                <c:pt idx="2">
                  <c:v>Dog Walking</c:v>
                </c:pt>
                <c:pt idx="3">
                  <c:v>Walking and Running</c:v>
                </c:pt>
                <c:pt idx="4">
                  <c:v>eScooter</c:v>
                </c:pt>
              </c:strCache>
            </c:strRef>
          </c:cat>
          <c:val>
            <c:numRef>
              <c:f>'Delapre WD'!$C$4:$C$8</c:f>
              <c:numCache>
                <c:formatCode>0%</c:formatCode>
                <c:ptCount val="5"/>
                <c:pt idx="0">
                  <c:v>0.23333333333333334</c:v>
                </c:pt>
                <c:pt idx="1">
                  <c:v>3.3333333333333333E-2</c:v>
                </c:pt>
                <c:pt idx="2">
                  <c:v>0.22222222222222221</c:v>
                </c:pt>
                <c:pt idx="3">
                  <c:v>0.43333333333333335</c:v>
                </c:pt>
                <c:pt idx="4">
                  <c:v>7.7777777777777779E-2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'Delapre WD'!$S$5:$W$5</c15:f>
                <c15:dlblRangeCache>
                  <c:ptCount val="5"/>
                  <c:pt idx="0">
                    <c:v>Female: 29%, Male: 71%, White: 76%, BAME: 24%</c:v>
                  </c:pt>
                  <c:pt idx="1">
                    <c:v>Female: 100%, Male: 0%, White: 100%, BAME: 0%</c:v>
                  </c:pt>
                  <c:pt idx="2">
                    <c:v>Female: 70%, Male: 30%, White: 100%, BAME: 0%</c:v>
                  </c:pt>
                  <c:pt idx="3">
                    <c:v>Female: 36%, Male: 64%, White: 77%, BAME: 23%</c:v>
                  </c:pt>
                  <c:pt idx="4">
                    <c:v>Female: 29%, Male: 71%, White: 71%, BAME: 29%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5C0B-4D5E-91D6-8E9BDD625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948958407226122"/>
          <c:y val="0.16486555715661214"/>
          <c:w val="0.39699680783145352"/>
          <c:h val="0.664488300941225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1-4C23-9CC1-3A0059D9AB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61-4C23-9CC1-3A0059D9AB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61-4C23-9CC1-3A0059D9AB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1-4C23-9CC1-3A0059D9AB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1-4C23-9CC1-3A0059D9ABEC}"/>
              </c:ext>
            </c:extLst>
          </c:dPt>
          <c:dLbls>
            <c:dLbl>
              <c:idx val="0"/>
              <c:layout>
                <c:manualLayout>
                  <c:x val="5.8989607424626209E-3"/>
                  <c:y val="-2.4723154207267638E-2"/>
                </c:manualLayout>
              </c:layout>
              <c:tx>
                <c:rich>
                  <a:bodyPr/>
                  <a:lstStyle/>
                  <a:p>
                    <a:fld id="{F224A85F-5AE1-4F9C-85D8-48C395E2749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1DD32A9-A25A-4D87-92E4-D9B0CA5D053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861-4C23-9CC1-3A0059D9ABEC}"/>
                </c:ext>
              </c:extLst>
            </c:dLbl>
            <c:dLbl>
              <c:idx val="1"/>
              <c:layout>
                <c:manualLayout>
                  <c:x val="8.4945034691462987E-2"/>
                  <c:y val="6.5928411219380353E-2"/>
                </c:manualLayout>
              </c:layout>
              <c:tx>
                <c:rich>
                  <a:bodyPr/>
                  <a:lstStyle/>
                  <a:p>
                    <a:fld id="{23CCC8F3-CC91-4AC3-9322-279E64A15B0B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9C78FEF-2CCE-42D5-BD67-24EC8C638923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861-4C23-9CC1-3A0059D9ABE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4C6A428-013E-487C-B6E2-F11FB676ACD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B706DD32-D217-4D67-AF01-C3427F9809D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861-4C23-9CC1-3A0059D9ABE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A726B2-63F0-4C3D-ADAD-3FD2681C10E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90A5A1EA-B5D2-43E3-AB75-5AA0914F4F1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861-4C23-9CC1-3A0059D9ABEC}"/>
                </c:ext>
              </c:extLst>
            </c:dLbl>
            <c:dLbl>
              <c:idx val="4"/>
              <c:layout>
                <c:manualLayout>
                  <c:x val="-5.8989607424627076E-2"/>
                  <c:y val="-1.4421839954239454E-2"/>
                </c:manualLayout>
              </c:layout>
              <c:tx>
                <c:rich>
                  <a:bodyPr/>
                  <a:lstStyle/>
                  <a:p>
                    <a:fld id="{40A3D214-B9DF-4238-B58A-7829D6D4AA49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4518746-75CB-4F77-B1CE-527163DE3CE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7861-4C23-9CC1-3A0059D9ABE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'Delapre WD'!$B$4:$B$8</c:f>
              <c:strCache>
                <c:ptCount val="5"/>
                <c:pt idx="0">
                  <c:v>Riding a Bike</c:v>
                </c:pt>
                <c:pt idx="1">
                  <c:v>Horse Riding</c:v>
                </c:pt>
                <c:pt idx="2">
                  <c:v>Dog Walking</c:v>
                </c:pt>
                <c:pt idx="3">
                  <c:v>Walking and Running</c:v>
                </c:pt>
                <c:pt idx="4">
                  <c:v>eScooter</c:v>
                </c:pt>
              </c:strCache>
            </c:strRef>
          </c:cat>
          <c:val>
            <c:numRef>
              <c:f>'St Crispins WD'!$C$4:$C$8</c:f>
              <c:numCache>
                <c:formatCode>0%</c:formatCode>
                <c:ptCount val="5"/>
                <c:pt idx="0">
                  <c:v>7.8260869565217397E-2</c:v>
                </c:pt>
                <c:pt idx="1">
                  <c:v>0</c:v>
                </c:pt>
                <c:pt idx="2">
                  <c:v>0.35652173913043478</c:v>
                </c:pt>
                <c:pt idx="3">
                  <c:v>0.55652173913043479</c:v>
                </c:pt>
                <c:pt idx="4">
                  <c:v>8.6956521739130436E-3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'St Crispins WD'!$AJ$3:$AN$3</c15:f>
                <c15:dlblRangeCache>
                  <c:ptCount val="5"/>
                  <c:pt idx="0">
                    <c:v>Female: 44%, Male: 56%, White: 44%, BAME: 56%</c:v>
                  </c:pt>
                  <c:pt idx="1">
                    <c:v>Female: 0%, Male: 0%, White: 0%, BAME: 0%</c:v>
                  </c:pt>
                  <c:pt idx="2">
                    <c:v>Female: 54%, Male: 46%, White: 98%, BAME: 2%</c:v>
                  </c:pt>
                  <c:pt idx="3">
                    <c:v>Female: 61%, Male: 39%, White: 83%, BAME: 17%</c:v>
                  </c:pt>
                  <c:pt idx="4">
                    <c:v>Female: 0%, Male: 100%, White: 100%, BAME: 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7861-4C23-9CC1-3A0059D9A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948958407226122"/>
          <c:y val="0.16486555715661214"/>
          <c:w val="0.39699680783145352"/>
          <c:h val="0.664488300941225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4-438E-87C8-6AFC2FDCE5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A4-438E-87C8-6AFC2FDCE5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A4-438E-87C8-6AFC2FDCE5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4-438E-87C8-6AFC2FDCE5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A4-438E-87C8-6AFC2FDCE5A4}"/>
              </c:ext>
            </c:extLst>
          </c:dPt>
          <c:dLbls>
            <c:dLbl>
              <c:idx val="0"/>
              <c:layout>
                <c:manualLayout>
                  <c:x val="5.8989607424626209E-3"/>
                  <c:y val="-2.4723154207267638E-2"/>
                </c:manualLayout>
              </c:layout>
              <c:tx>
                <c:rich>
                  <a:bodyPr/>
                  <a:lstStyle/>
                  <a:p>
                    <a:fld id="{F224A85F-5AE1-4F9C-85D8-48C395E2749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1DD32A9-A25A-4D87-92E4-D9B0CA5D053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FA4-438E-87C8-6AFC2FDCE5A4}"/>
                </c:ext>
              </c:extLst>
            </c:dLbl>
            <c:dLbl>
              <c:idx val="1"/>
              <c:layout>
                <c:manualLayout>
                  <c:x val="8.0818891485238992E-2"/>
                  <c:y val="6.592841121938034E-2"/>
                </c:manualLayout>
              </c:layout>
              <c:tx>
                <c:rich>
                  <a:bodyPr/>
                  <a:lstStyle/>
                  <a:p>
                    <a:fld id="{23CCC8F3-CC91-4AC3-9322-279E64A15B0B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9C78FEF-2CCE-42D5-BD67-24EC8C638923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135576247227731"/>
                      <c:h val="0.1007628514527860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FA4-438E-87C8-6AFC2FDCE5A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4C6A428-013E-487C-B6E2-F11FB676ACD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B706DD32-D217-4D67-AF01-C3427F9809D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FA4-438E-87C8-6AFC2FDCE5A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A726B2-63F0-4C3D-ADAD-3FD2681C10E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90A5A1EA-B5D2-43E3-AB75-5AA0914F4F1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FA4-438E-87C8-6AFC2FDCE5A4}"/>
                </c:ext>
              </c:extLst>
            </c:dLbl>
            <c:dLbl>
              <c:idx val="4"/>
              <c:layout>
                <c:manualLayout>
                  <c:x val="-5.8989607424627076E-2"/>
                  <c:y val="-1.4421839954239454E-2"/>
                </c:manualLayout>
              </c:layout>
              <c:tx>
                <c:rich>
                  <a:bodyPr/>
                  <a:lstStyle/>
                  <a:p>
                    <a:fld id="{40A3D214-B9DF-4238-B58A-7829D6D4AA49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4518746-75CB-4F77-B1CE-527163DE3CE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FA4-438E-87C8-6AFC2FDCE5A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'Delapre WD'!$B$4:$B$8</c:f>
              <c:strCache>
                <c:ptCount val="5"/>
                <c:pt idx="0">
                  <c:v>Riding a Bike</c:v>
                </c:pt>
                <c:pt idx="1">
                  <c:v>Horse Riding</c:v>
                </c:pt>
                <c:pt idx="2">
                  <c:v>Dog Walking</c:v>
                </c:pt>
                <c:pt idx="3">
                  <c:v>Walking and Running</c:v>
                </c:pt>
                <c:pt idx="4">
                  <c:v>eScooter</c:v>
                </c:pt>
              </c:strCache>
            </c:strRef>
          </c:cat>
          <c:val>
            <c:numRef>
              <c:f>'Hunsbury WD'!$C$4:$C$8</c:f>
              <c:numCache>
                <c:formatCode>0%</c:formatCode>
                <c:ptCount val="5"/>
                <c:pt idx="0">
                  <c:v>7.407407407407407E-2</c:v>
                </c:pt>
                <c:pt idx="1">
                  <c:v>0</c:v>
                </c:pt>
                <c:pt idx="2">
                  <c:v>0.29629629629629628</c:v>
                </c:pt>
                <c:pt idx="3">
                  <c:v>0.61481481481481481</c:v>
                </c:pt>
                <c:pt idx="4">
                  <c:v>1.4814814814814815E-2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'Hunsbury WD'!$AJ$3:$AN$3</c15:f>
                <c15:dlblRangeCache>
                  <c:ptCount val="5"/>
                  <c:pt idx="0">
                    <c:v>Female: 20%, Male: 80%, White: 100%, BAME: 0%</c:v>
                  </c:pt>
                  <c:pt idx="1">
                    <c:v>Female: 0%, Male: 0%, White: 0%, BAME: 0%</c:v>
                  </c:pt>
                  <c:pt idx="2">
                    <c:v>Female: 63%, Male: 37%, White: 100%, BAME: 0%</c:v>
                  </c:pt>
                  <c:pt idx="3">
                    <c:v>Female: 39%, Male: 61%, White: 94%, BAME: 6%</c:v>
                  </c:pt>
                  <c:pt idx="4">
                    <c:v>Female: 50%, Male: 50%, White: 100%, BAME: 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2FA4-438E-87C8-6AFC2FDCE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948958407226122"/>
          <c:y val="0.16486555715661214"/>
          <c:w val="0.39699680783145352"/>
          <c:h val="0.664488300941225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20-45C9-8A72-0DC38041E0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20-45C9-8A72-0DC38041E0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20-45C9-8A72-0DC38041E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0-45C9-8A72-0DC38041E0D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E20-45C9-8A72-0DC38041E0D1}"/>
              </c:ext>
            </c:extLst>
          </c:dPt>
          <c:dLbls>
            <c:dLbl>
              <c:idx val="0"/>
              <c:layout>
                <c:manualLayout>
                  <c:x val="5.8989607424626209E-3"/>
                  <c:y val="-2.4723154207267638E-2"/>
                </c:manualLayout>
              </c:layout>
              <c:tx>
                <c:rich>
                  <a:bodyPr/>
                  <a:lstStyle/>
                  <a:p>
                    <a:fld id="{F224A85F-5AE1-4F9C-85D8-48C395E2749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1DD32A9-A25A-4D87-92E4-D9B0CA5D053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E20-45C9-8A72-0DC38041E0D1}"/>
                </c:ext>
              </c:extLst>
            </c:dLbl>
            <c:dLbl>
              <c:idx val="1"/>
              <c:layout>
                <c:manualLayout>
                  <c:x val="8.0818891485238992E-2"/>
                  <c:y val="6.592841121938034E-2"/>
                </c:manualLayout>
              </c:layout>
              <c:tx>
                <c:rich>
                  <a:bodyPr/>
                  <a:lstStyle/>
                  <a:p>
                    <a:fld id="{23CCC8F3-CC91-4AC3-9322-279E64A15B0B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9C78FEF-2CCE-42D5-BD67-24EC8C638923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135576247227731"/>
                      <c:h val="0.1007628514527860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E20-45C9-8A72-0DC38041E0D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4C6A428-013E-487C-B6E2-F11FB676ACD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B706DD32-D217-4D67-AF01-C3427F9809D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E20-45C9-8A72-0DC38041E0D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A726B2-63F0-4C3D-ADAD-3FD2681C10E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90A5A1EA-B5D2-43E3-AB75-5AA0914F4F1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E20-45C9-8A72-0DC38041E0D1}"/>
                </c:ext>
              </c:extLst>
            </c:dLbl>
            <c:dLbl>
              <c:idx val="4"/>
              <c:layout>
                <c:manualLayout>
                  <c:x val="-5.8989607424627076E-2"/>
                  <c:y val="-1.4421839954239454E-2"/>
                </c:manualLayout>
              </c:layout>
              <c:tx>
                <c:rich>
                  <a:bodyPr/>
                  <a:lstStyle/>
                  <a:p>
                    <a:fld id="{40A3D214-B9DF-4238-B58A-7829D6D4AA49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4518746-75CB-4F77-B1CE-527163DE3CE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1E20-45C9-8A72-0DC38041E0D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'Delapre WD'!$B$4:$B$8</c:f>
              <c:strCache>
                <c:ptCount val="5"/>
                <c:pt idx="0">
                  <c:v>Riding a Bike</c:v>
                </c:pt>
                <c:pt idx="1">
                  <c:v>Horse Riding</c:v>
                </c:pt>
                <c:pt idx="2">
                  <c:v>Dog Walking</c:v>
                </c:pt>
                <c:pt idx="3">
                  <c:v>Walking and Running</c:v>
                </c:pt>
                <c:pt idx="4">
                  <c:v>eScooter</c:v>
                </c:pt>
              </c:strCache>
            </c:strRef>
          </c:cat>
          <c:val>
            <c:numRef>
              <c:f>'Delapre WE'!$C$4:$C$8</c:f>
              <c:numCache>
                <c:formatCode>0%</c:formatCode>
                <c:ptCount val="5"/>
                <c:pt idx="0">
                  <c:v>0.15517241379310345</c:v>
                </c:pt>
                <c:pt idx="1">
                  <c:v>1.7241379310344827E-2</c:v>
                </c:pt>
                <c:pt idx="2">
                  <c:v>0.19827586206896552</c:v>
                </c:pt>
                <c:pt idx="3">
                  <c:v>0.62068965517241381</c:v>
                </c:pt>
                <c:pt idx="4">
                  <c:v>8.6206896551724137E-3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'Delapre WE'!$AJ$2:$AN$2</c15:f>
                <c15:dlblRangeCache>
                  <c:ptCount val="5"/>
                  <c:pt idx="0">
                    <c:v>Female: 6%, Male: 94%, White: 94%, BAME: 6%</c:v>
                  </c:pt>
                  <c:pt idx="1">
                    <c:v>Female: 100%, Male: 0%, White: 100%, BAME: 0%</c:v>
                  </c:pt>
                  <c:pt idx="2">
                    <c:v>Female: 70%, Male: 30%, White: 100%, BAME: 0%</c:v>
                  </c:pt>
                  <c:pt idx="3">
                    <c:v>Female: 54%, Male: 46%, White: 89%, BAME: 11%</c:v>
                  </c:pt>
                  <c:pt idx="4">
                    <c:v>Female: 0%, Male: 100%, White: 0%, BAME: 100%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1E20-45C9-8A72-0DC38041E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948958407226122"/>
          <c:y val="0.16486555715661214"/>
          <c:w val="0.39699680783145352"/>
          <c:h val="0.664488300941225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90-4193-85CD-7E0989101E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90-4193-85CD-7E0989101E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90-4193-85CD-7E0989101E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90-4193-85CD-7E0989101E6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B90-4193-85CD-7E0989101E64}"/>
              </c:ext>
            </c:extLst>
          </c:dPt>
          <c:dLbls>
            <c:dLbl>
              <c:idx val="0"/>
              <c:layout>
                <c:manualLayout>
                  <c:x val="5.8989607424626209E-3"/>
                  <c:y val="-2.4723154207267638E-2"/>
                </c:manualLayout>
              </c:layout>
              <c:tx>
                <c:rich>
                  <a:bodyPr/>
                  <a:lstStyle/>
                  <a:p>
                    <a:fld id="{F224A85F-5AE1-4F9C-85D8-48C395E2749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1DD32A9-A25A-4D87-92E4-D9B0CA5D053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B90-4193-85CD-7E0989101E64}"/>
                </c:ext>
              </c:extLst>
            </c:dLbl>
            <c:dLbl>
              <c:idx val="1"/>
              <c:layout>
                <c:manualLayout>
                  <c:x val="8.0818891485238992E-2"/>
                  <c:y val="6.592841121938034E-2"/>
                </c:manualLayout>
              </c:layout>
              <c:tx>
                <c:rich>
                  <a:bodyPr/>
                  <a:lstStyle/>
                  <a:p>
                    <a:fld id="{23CCC8F3-CC91-4AC3-9322-279E64A15B0B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9C78FEF-2CCE-42D5-BD67-24EC8C638923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135576247227731"/>
                      <c:h val="0.1007628514527860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B90-4193-85CD-7E0989101E6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4C6A428-013E-487C-B6E2-F11FB676ACD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B706DD32-D217-4D67-AF01-C3427F9809D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B90-4193-85CD-7E0989101E6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A726B2-63F0-4C3D-ADAD-3FD2681C10E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90A5A1EA-B5D2-43E3-AB75-5AA0914F4F1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B90-4193-85CD-7E0989101E64}"/>
                </c:ext>
              </c:extLst>
            </c:dLbl>
            <c:dLbl>
              <c:idx val="4"/>
              <c:layout>
                <c:manualLayout>
                  <c:x val="-5.8989607424627076E-2"/>
                  <c:y val="-1.4421839954239454E-2"/>
                </c:manualLayout>
              </c:layout>
              <c:tx>
                <c:rich>
                  <a:bodyPr/>
                  <a:lstStyle/>
                  <a:p>
                    <a:fld id="{40A3D214-B9DF-4238-B58A-7829D6D4AA49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4518746-75CB-4F77-B1CE-527163DE3CE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B90-4193-85CD-7E0989101E6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'Delapre WD'!$B$4:$B$8</c:f>
              <c:strCache>
                <c:ptCount val="5"/>
                <c:pt idx="0">
                  <c:v>Riding a Bike</c:v>
                </c:pt>
                <c:pt idx="1">
                  <c:v>Horse Riding</c:v>
                </c:pt>
                <c:pt idx="2">
                  <c:v>Dog Walking</c:v>
                </c:pt>
                <c:pt idx="3">
                  <c:v>Walking and Running</c:v>
                </c:pt>
                <c:pt idx="4">
                  <c:v>eScooter</c:v>
                </c:pt>
              </c:strCache>
            </c:strRef>
          </c:cat>
          <c:val>
            <c:numRef>
              <c:f>'Hunsbury WE'!$C$4:$C$8</c:f>
              <c:numCache>
                <c:formatCode>0%</c:formatCode>
                <c:ptCount val="5"/>
                <c:pt idx="0">
                  <c:v>0.14767932489451477</c:v>
                </c:pt>
                <c:pt idx="1">
                  <c:v>0</c:v>
                </c:pt>
                <c:pt idx="2">
                  <c:v>0.32911392405063289</c:v>
                </c:pt>
                <c:pt idx="3">
                  <c:v>0.52320675105485237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'Hunsbury WE'!$AJ$2:$AN$2</c15:f>
                <c15:dlblRangeCache>
                  <c:ptCount val="5"/>
                  <c:pt idx="0">
                    <c:v>Female: 34%, Male: 66%, White: 100%, BAME: 0%</c:v>
                  </c:pt>
                  <c:pt idx="1">
                    <c:v>Female: 0%, Male: 0%, White: 0%, BAME: 0%</c:v>
                  </c:pt>
                  <c:pt idx="2">
                    <c:v>Female: 51%, Male: 49%, White: 99%, BAME: 1%</c:v>
                  </c:pt>
                  <c:pt idx="3">
                    <c:v>Female: 47%, Male: 53%, White: 92%, BAME: 8%</c:v>
                  </c:pt>
                  <c:pt idx="4">
                    <c:v>Female: 0%, Male: 0%, White: 0%, BAME: 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FB90-4193-85CD-7E0989101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948958407226122"/>
          <c:y val="0.16486555715661214"/>
          <c:w val="0.39699680783145352"/>
          <c:h val="0.664488300941225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F-4A32-9101-4D8EEE2878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1F-4A32-9101-4D8EEE2878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1F-4A32-9101-4D8EEE2878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1F-4A32-9101-4D8EEE28789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1F-4A32-9101-4D8EEE287890}"/>
              </c:ext>
            </c:extLst>
          </c:dPt>
          <c:dLbls>
            <c:dLbl>
              <c:idx val="0"/>
              <c:layout>
                <c:manualLayout>
                  <c:x val="5.8989607424626209E-3"/>
                  <c:y val="-2.4723154207267638E-2"/>
                </c:manualLayout>
              </c:layout>
              <c:tx>
                <c:rich>
                  <a:bodyPr/>
                  <a:lstStyle/>
                  <a:p>
                    <a:fld id="{F224A85F-5AE1-4F9C-85D8-48C395E2749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1DD32A9-A25A-4D87-92E4-D9B0CA5D053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81F-4A32-9101-4D8EEE287890}"/>
                </c:ext>
              </c:extLst>
            </c:dLbl>
            <c:dLbl>
              <c:idx val="1"/>
              <c:layout>
                <c:manualLayout>
                  <c:x val="8.0818891485238992E-2"/>
                  <c:y val="6.592841121938034E-2"/>
                </c:manualLayout>
              </c:layout>
              <c:tx>
                <c:rich>
                  <a:bodyPr/>
                  <a:lstStyle/>
                  <a:p>
                    <a:fld id="{23CCC8F3-CC91-4AC3-9322-279E64A15B0B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9C78FEF-2CCE-42D5-BD67-24EC8C638923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135576247227731"/>
                      <c:h val="0.1007628514527860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81F-4A32-9101-4D8EEE2878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4C6A428-013E-487C-B6E2-F11FB676ACD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B706DD32-D217-4D67-AF01-C3427F9809DB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81F-4A32-9101-4D8EEE28789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A726B2-63F0-4C3D-ADAD-3FD2681C10E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90A5A1EA-B5D2-43E3-AB75-5AA0914F4F1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81F-4A32-9101-4D8EEE287890}"/>
                </c:ext>
              </c:extLst>
            </c:dLbl>
            <c:dLbl>
              <c:idx val="4"/>
              <c:layout>
                <c:manualLayout>
                  <c:x val="-5.8989607424627076E-2"/>
                  <c:y val="-1.4421839954239454E-2"/>
                </c:manualLayout>
              </c:layout>
              <c:tx>
                <c:rich>
                  <a:bodyPr/>
                  <a:lstStyle/>
                  <a:p>
                    <a:fld id="{40A3D214-B9DF-4238-B58A-7829D6D4AA49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A4518746-75CB-4F77-B1CE-527163DE3CEA}" type="VALUE">
                      <a:rPr lang="en-US"/>
                      <a:pPr/>
                      <a:t>[VALUE]</a:t>
                    </a:fld>
                    <a:endParaRPr lang="en-GB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81F-4A32-9101-4D8EEE28789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'Delapre WD'!$B$4:$B$8</c:f>
              <c:strCache>
                <c:ptCount val="5"/>
                <c:pt idx="0">
                  <c:v>Riding a Bike</c:v>
                </c:pt>
                <c:pt idx="1">
                  <c:v>Horse Riding</c:v>
                </c:pt>
                <c:pt idx="2">
                  <c:v>Dog Walking</c:v>
                </c:pt>
                <c:pt idx="3">
                  <c:v>Walking and Running</c:v>
                </c:pt>
                <c:pt idx="4">
                  <c:v>eScooter</c:v>
                </c:pt>
              </c:strCache>
            </c:strRef>
          </c:cat>
          <c:val>
            <c:numRef>
              <c:f>'St Crispins WE'!$C$4:$C$8</c:f>
              <c:numCache>
                <c:formatCode>0%</c:formatCode>
                <c:ptCount val="5"/>
                <c:pt idx="0">
                  <c:v>4.3165467625899283E-2</c:v>
                </c:pt>
                <c:pt idx="1">
                  <c:v>7.1942446043165471E-3</c:v>
                </c:pt>
                <c:pt idx="2">
                  <c:v>0.4460431654676259</c:v>
                </c:pt>
                <c:pt idx="3">
                  <c:v>0.50359712230215825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'St Crispins WE'!$AJ$2:$AN$2</c15:f>
                <c15:dlblRangeCache>
                  <c:ptCount val="5"/>
                  <c:pt idx="0">
                    <c:v>Female: 33%, Male: 67%, White: 100%, BAME: 0%</c:v>
                  </c:pt>
                  <c:pt idx="1">
                    <c:v>Female: 100%, Male: 0%, White: 100%, BAME: 0%</c:v>
                  </c:pt>
                  <c:pt idx="2">
                    <c:v>Female: 55%, Male: 45%, White: 98%, BAME: 2%</c:v>
                  </c:pt>
                  <c:pt idx="3">
                    <c:v>Female: 41%, Male: 59%, White: 89%, BAME: 11%</c:v>
                  </c:pt>
                  <c:pt idx="4">
                    <c:v>Female: 0%, Male: 0%, White: 0%, BAME: 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B81F-4A32-9101-4D8EEE287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0</xdr:rowOff>
    </xdr:from>
    <xdr:to>
      <xdr:col>9</xdr:col>
      <xdr:colOff>12134</xdr:colOff>
      <xdr:row>59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1E9413-6FEA-48A3-8218-BDA1D6D03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05600"/>
          <a:ext cx="5492184" cy="408622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539749</xdr:colOff>
      <xdr:row>37</xdr:row>
      <xdr:rowOff>0</xdr:rowOff>
    </xdr:from>
    <xdr:to>
      <xdr:col>18</xdr:col>
      <xdr:colOff>600862</xdr:colOff>
      <xdr:row>59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36E4BF-D849-47F8-9EF6-B8877B56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16549" y="6705600"/>
          <a:ext cx="6157113" cy="407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47625</xdr:colOff>
      <xdr:row>5</xdr:row>
      <xdr:rowOff>19050</xdr:rowOff>
    </xdr:from>
    <xdr:to>
      <xdr:col>21</xdr:col>
      <xdr:colOff>571500</xdr:colOff>
      <xdr:row>32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B0BCCF-0259-412E-8E82-0A57B9ECE6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37646</xdr:colOff>
      <xdr:row>3</xdr:row>
      <xdr:rowOff>20866</xdr:rowOff>
    </xdr:from>
    <xdr:to>
      <xdr:col>38</xdr:col>
      <xdr:colOff>1659614</xdr:colOff>
      <xdr:row>34</xdr:row>
      <xdr:rowOff>37647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A2A246B-E38F-400C-AD91-A42E1C6C5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19050</xdr:colOff>
      <xdr:row>3</xdr:row>
      <xdr:rowOff>38100</xdr:rowOff>
    </xdr:from>
    <xdr:to>
      <xdr:col>38</xdr:col>
      <xdr:colOff>1289047</xdr:colOff>
      <xdr:row>37</xdr:row>
      <xdr:rowOff>178480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D3BF9C-3215-4F19-BB9B-49B205CFF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66674</xdr:colOff>
      <xdr:row>2</xdr:row>
      <xdr:rowOff>104775</xdr:rowOff>
    </xdr:from>
    <xdr:to>
      <xdr:col>39</xdr:col>
      <xdr:colOff>1873246</xdr:colOff>
      <xdr:row>34</xdr:row>
      <xdr:rowOff>542925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0B5DF-F58D-47BF-B778-23F9CDD82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57150</xdr:colOff>
      <xdr:row>2</xdr:row>
      <xdr:rowOff>152400</xdr:rowOff>
    </xdr:from>
    <xdr:to>
      <xdr:col>38</xdr:col>
      <xdr:colOff>2127247</xdr:colOff>
      <xdr:row>39</xdr:row>
      <xdr:rowOff>64180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3273D-3461-4262-B6CF-1BB16E24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19050</xdr:colOff>
      <xdr:row>3</xdr:row>
      <xdr:rowOff>19050</xdr:rowOff>
    </xdr:from>
    <xdr:to>
      <xdr:col>38</xdr:col>
      <xdr:colOff>2085972</xdr:colOff>
      <xdr:row>39</xdr:row>
      <xdr:rowOff>124505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558A73-662E-4123-A506-2020EF603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eclan Ryan" id="{FBF5E7CF-DD6E-4CDF-A0BF-036ACA60EF85}" userId="S::Declan.Ryan@northampton.ac.uk::3d97c53b-5d67-49b7-9e9e-b8a7ee909e1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4" dT="2022-03-24T09:48:18.43" personId="{FBF5E7CF-DD6E-4CDF-A0BF-036ACA60EF85}" id="{B58363C0-0397-4041-B59D-561F75D03D67}">
    <text>100%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J4" dT="2022-03-24T09:48:18.43" personId="{FBF5E7CF-DD6E-4CDF-A0BF-036ACA60EF85}" id="{5BE671FA-CB43-4ED2-9890-B2CF7F4765B5}">
    <text>100%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J4" dT="2022-03-24T09:48:18.43" personId="{FBF5E7CF-DD6E-4CDF-A0BF-036ACA60EF85}" id="{61028536-A8D5-4828-A2B8-F5ACFBE2BF9A}">
    <text>100%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4" dT="2022-03-24T09:48:18.43" personId="{FBF5E7CF-DD6E-4CDF-A0BF-036ACA60EF85}" id="{EE683D13-44F3-4A97-A4AF-3EDB73EAB6C6}">
    <text>100%</text>
  </threadedComment>
  <threadedComment ref="P37" dT="2022-03-29T13:09:30.02" personId="{FBF5E7CF-DD6E-4CDF-A0BF-036ACA60EF85}" id="{83BE8BD3-C6DC-4DFD-85BF-0F731F95443E}">
    <text>forgot to remove 2 errors</text>
  </threadedComment>
  <threadedComment ref="P37" dT="2022-03-29T13:09:37.96" personId="{FBF5E7CF-DD6E-4CDF-A0BF-036ACA60EF85}" id="{C863715F-EAD5-4301-8130-769CA774BAF8}" parentId="{83BE8BD3-C6DC-4DFD-85BF-0F731F95443E}">
    <text>use this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J4" dT="2022-03-24T09:48:18.43" personId="{FBF5E7CF-DD6E-4CDF-A0BF-036ACA60EF85}" id="{E5CFCBC1-7758-4F54-8D0A-ABDFCDFA61FA}">
    <text>100%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J4" dT="2022-03-24T09:48:18.43" personId="{FBF5E7CF-DD6E-4CDF-A0BF-036ACA60EF85}" id="{6C7A5710-68B9-4120-9E73-DB2EB7EFBED7}">
    <text>100%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B5" dT="2022-06-15T14:55:55.74" personId="{FBF5E7CF-DD6E-4CDF-A0BF-036ACA60EF85}" id="{62C9B074-41B5-4509-8E83-E4A179974B1B}">
    <text>Horse Riding Used, phone use not documented as an activity</text>
  </threadedComment>
  <threadedComment ref="B9" dT="2022-06-15T14:55:55.74" personId="{FBF5E7CF-DD6E-4CDF-A0BF-036ACA60EF85}" id="{B776D4DF-4AF5-4584-848A-806A2BC79D6B}">
    <text>Horse Riding Used, phone use not documented as an activity</text>
  </threadedComment>
  <threadedComment ref="B13" dT="2022-06-15T14:55:55.74" personId="{FBF5E7CF-DD6E-4CDF-A0BF-036ACA60EF85}" id="{93C7E53B-2299-4536-8B7F-BC8CE0E5D3A9}">
    <text>Horse Riding Used, phone use not documented as an activity</text>
  </threadedComment>
  <threadedComment ref="B18" dT="2022-06-15T14:55:55.74" personId="{FBF5E7CF-DD6E-4CDF-A0BF-036ACA60EF85}" id="{4424A919-2A75-49E0-8F16-8ACC87B1C6A8}">
    <text>Horse Riding Used, phone use not documented as an activity</text>
  </threadedComment>
  <threadedComment ref="B23" dT="2022-06-15T15:07:38.92" personId="{FBF5E7CF-DD6E-4CDF-A0BF-036ACA60EF85}" id="{E85387DA-1E01-45E6-859F-5B8C6C58B809}">
    <text>M - Male, F - Female</text>
  </threadedComment>
  <threadedComment ref="C23" dT="2022-06-15T15:08:10.91" personId="{FBF5E7CF-DD6E-4CDF-A0BF-036ACA60EF85}" id="{97D95C82-0F74-450A-B9FC-6AE576FAAAA0}">
    <text>I - Infant, C - Child, T - Teen, A - Adult, OA - Older Adult</text>
  </threadedComment>
  <threadedComment ref="D23" dT="2022-06-15T15:08:36.69" personId="{FBF5E7CF-DD6E-4CDF-A0BF-036ACA60EF85}" id="{2A4E38AA-6B0F-4D50-9F45-62F2D7C54955}">
    <text>W - White Ethnicity, OE - Other Ethnicity</text>
  </threadedComment>
  <threadedComment ref="E23" dT="2022-06-15T15:09:19.41" personId="{FBF5E7CF-DD6E-4CDF-A0BF-036ACA60EF85}" id="{408ED925-1CBF-450F-82D7-B8CF92A512FA}">
    <text>C - Cycling, UP - Using Phone/Horse Riding, DW - Dog Walking, WR - Walk/Run, S - eScooter</text>
  </threadedComment>
  <threadedComment ref="F23" dT="2022-06-15T15:09:40.83" personId="{FBF5E7CF-DD6E-4CDF-A0BF-036ACA60EF85}" id="{881210D6-2697-4A61-A061-A3A3D4A7677A}">
    <text>Sed - Sedentary, Walk - Walking, Vig - Vigorous</text>
  </threadedComment>
  <threadedComment ref="G23" dT="2022-06-15T15:10:03.39" personId="{FBF5E7CF-DD6E-4CDF-A0BF-036ACA60EF85}" id="{C8F4ABF7-D4CE-4B0D-9131-96C5555E156F}">
    <text>TC - Taking Notice, Con - Connecting with Others</text>
  </threadedComment>
  <threadedComment ref="J23" dT="2022-06-15T15:10:28.51" personId="{FBF5E7CF-DD6E-4CDF-A0BF-036ACA60EF85}" id="{EAB726E5-A234-4701-BEE4-FC28394EC685}">
    <text>DC - Coming from Delapre County Park, ED - Coming from Eagle Drive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J4" dT="2022-03-24T09:48:18.43" personId="{FBF5E7CF-DD6E-4CDF-A0BF-036ACA60EF85}" id="{F96DD577-4864-41F9-BE2B-36D4589630A4}">
    <text>100%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G15" dT="2021-04-29T14:46:20.69" personId="{FBF5E7CF-DD6E-4CDF-A0BF-036ACA60EF85}" id="{6BAEB655-A2B3-440F-88FD-B3DF9A35D388}">
    <text>https://www.wunderground.com/dashboard/pws/INORTH369/graph/2021-05-8/2021-05-8/daily</text>
  </threadedComment>
  <threadedComment ref="J15" dT="2022-06-15T15:27:13.62" personId="{FBF5E7CF-DD6E-4CDF-A0BF-036ACA60EF85}" id="{3F5E696E-B2EC-456F-85A3-8ECAF6230631}">
    <text>IN - into Delapre County Park, OUT - towards Eagle Drive</text>
  </threadedComment>
  <threadedComment ref="M15" dT="2022-06-15T15:27:31.93" personId="{FBF5E7CF-DD6E-4CDF-A0BF-036ACA60EF85}" id="{C8DF7687-6069-45F4-803A-4A3272DEE4B0}">
    <text>IN - towards Delapre Lake</text>
  </threadedComment>
  <threadedComment ref="Q15" dT="2022-06-15T15:27:50.00" personId="{FBF5E7CF-DD6E-4CDF-A0BF-036ACA60EF85}" id="{D11A7D44-94FD-47DE-8F9C-80F9458C50CF}">
    <text>OUT - Towards Delapre Abbey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C4DF5-1A34-4451-8330-D887FAC02B35}">
  <dimension ref="A1:S37"/>
  <sheetViews>
    <sheetView topLeftCell="A9" workbookViewId="0">
      <selection activeCell="V32" sqref="V32"/>
    </sheetView>
  </sheetViews>
  <sheetFormatPr defaultRowHeight="14.5" x14ac:dyDescent="0.35"/>
  <sheetData>
    <row r="1" spans="1:19" x14ac:dyDescent="0.35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2"/>
    </row>
    <row r="2" spans="1:19" x14ac:dyDescent="0.35">
      <c r="A2" s="73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5"/>
    </row>
    <row r="3" spans="1:19" x14ac:dyDescent="0.35">
      <c r="A3" s="73"/>
      <c r="B3" s="88" t="s">
        <v>153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75"/>
    </row>
    <row r="4" spans="1:19" x14ac:dyDescent="0.35">
      <c r="A4" s="73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75"/>
    </row>
    <row r="5" spans="1:19" x14ac:dyDescent="0.35">
      <c r="A5" s="73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75"/>
    </row>
    <row r="6" spans="1:19" x14ac:dyDescent="0.35">
      <c r="A6" s="73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75"/>
    </row>
    <row r="7" spans="1:19" x14ac:dyDescent="0.35">
      <c r="A7" s="73"/>
      <c r="B7" s="74"/>
      <c r="C7" s="89" t="s">
        <v>154</v>
      </c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74"/>
      <c r="S7" s="75"/>
    </row>
    <row r="8" spans="1:19" x14ac:dyDescent="0.35">
      <c r="A8" s="73"/>
      <c r="B8" s="74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74"/>
      <c r="S8" s="75"/>
    </row>
    <row r="9" spans="1:19" x14ac:dyDescent="0.35">
      <c r="A9" s="73"/>
      <c r="B9" s="74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74"/>
      <c r="S9" s="75"/>
    </row>
    <row r="10" spans="1:19" x14ac:dyDescent="0.35">
      <c r="A10" s="73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5"/>
    </row>
    <row r="11" spans="1:19" x14ac:dyDescent="0.35">
      <c r="A11" s="73"/>
      <c r="B11" s="74"/>
      <c r="C11" s="90" t="s">
        <v>155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74"/>
      <c r="S11" s="75"/>
    </row>
    <row r="12" spans="1:19" x14ac:dyDescent="0.35">
      <c r="A12" s="73"/>
      <c r="B12" s="74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74"/>
      <c r="S12" s="75"/>
    </row>
    <row r="13" spans="1:19" x14ac:dyDescent="0.35">
      <c r="A13" s="73"/>
      <c r="B13" s="74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74"/>
      <c r="S13" s="75"/>
    </row>
    <row r="14" spans="1:19" x14ac:dyDescent="0.35">
      <c r="A14" s="73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5"/>
    </row>
    <row r="15" spans="1:19" x14ac:dyDescent="0.35">
      <c r="A15" s="73"/>
      <c r="B15" s="74"/>
      <c r="C15" s="90" t="s">
        <v>156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74"/>
      <c r="S15" s="75"/>
    </row>
    <row r="16" spans="1:19" x14ac:dyDescent="0.35">
      <c r="A16" s="73"/>
      <c r="B16" s="74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74"/>
      <c r="S16" s="75"/>
    </row>
    <row r="17" spans="1:19" x14ac:dyDescent="0.35">
      <c r="A17" s="73"/>
      <c r="B17" s="74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74"/>
      <c r="S17" s="75"/>
    </row>
    <row r="18" spans="1:19" x14ac:dyDescent="0.35">
      <c r="A18" s="73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5"/>
    </row>
    <row r="19" spans="1:19" x14ac:dyDescent="0.35">
      <c r="A19" s="73"/>
      <c r="B19" s="74"/>
      <c r="C19" s="90" t="s">
        <v>196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74"/>
      <c r="R19" s="74"/>
      <c r="S19" s="75"/>
    </row>
    <row r="20" spans="1:19" x14ac:dyDescent="0.35">
      <c r="A20" s="73"/>
      <c r="B20" s="74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74"/>
      <c r="R20" s="74"/>
      <c r="S20" s="75"/>
    </row>
    <row r="21" spans="1:19" x14ac:dyDescent="0.35">
      <c r="A21" s="73"/>
      <c r="B21" s="74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74"/>
      <c r="R21" s="74"/>
      <c r="S21" s="75"/>
    </row>
    <row r="22" spans="1:19" x14ac:dyDescent="0.35">
      <c r="A22" s="73"/>
      <c r="B22" s="74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74"/>
      <c r="R22" s="74"/>
      <c r="S22" s="75"/>
    </row>
    <row r="23" spans="1:19" x14ac:dyDescent="0.35">
      <c r="A23" s="73"/>
      <c r="B23" s="74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74"/>
      <c r="R23" s="74"/>
      <c r="S23" s="75"/>
    </row>
    <row r="24" spans="1:19" x14ac:dyDescent="0.35">
      <c r="A24" s="73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5"/>
    </row>
    <row r="25" spans="1:19" x14ac:dyDescent="0.35">
      <c r="A25" s="73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5"/>
    </row>
    <row r="26" spans="1:19" x14ac:dyDescent="0.35">
      <c r="A26" s="73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5"/>
    </row>
    <row r="27" spans="1:19" x14ac:dyDescent="0.35">
      <c r="A27" s="73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5"/>
    </row>
    <row r="28" spans="1:19" x14ac:dyDescent="0.35">
      <c r="A28" s="73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5"/>
    </row>
    <row r="29" spans="1:19" x14ac:dyDescent="0.35">
      <c r="A29" s="73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5"/>
    </row>
    <row r="30" spans="1:19" x14ac:dyDescent="0.35">
      <c r="A30" s="73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5"/>
    </row>
    <row r="31" spans="1:19" x14ac:dyDescent="0.35">
      <c r="A31" s="73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5"/>
    </row>
    <row r="32" spans="1:19" x14ac:dyDescent="0.35">
      <c r="A32" s="73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5"/>
    </row>
    <row r="33" spans="1:19" x14ac:dyDescent="0.35">
      <c r="A33" s="73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5"/>
    </row>
    <row r="34" spans="1:19" x14ac:dyDescent="0.35">
      <c r="A34" s="73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5"/>
    </row>
    <row r="35" spans="1:19" x14ac:dyDescent="0.35">
      <c r="A35" s="73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5"/>
    </row>
    <row r="36" spans="1:19" x14ac:dyDescent="0.35">
      <c r="A36" s="73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5"/>
    </row>
    <row r="37" spans="1:19" ht="15" thickBot="1" x14ac:dyDescent="0.4">
      <c r="A37" s="76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8"/>
    </row>
  </sheetData>
  <mergeCells count="5">
    <mergeCell ref="B3:R6"/>
    <mergeCell ref="C7:Q9"/>
    <mergeCell ref="C11:Q13"/>
    <mergeCell ref="C15:Q17"/>
    <mergeCell ref="C19:P2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D6A5-34E3-4852-A46B-4D06125B1BBC}">
  <sheetPr>
    <tabColor theme="9"/>
  </sheetPr>
  <dimension ref="A1:X73"/>
  <sheetViews>
    <sheetView topLeftCell="A9" workbookViewId="0">
      <selection activeCell="M33" sqref="M33"/>
    </sheetView>
  </sheetViews>
  <sheetFormatPr defaultRowHeight="14.5" x14ac:dyDescent="0.35"/>
  <cols>
    <col min="1" max="1" width="14.54296875" style="1" bestFit="1" customWidth="1"/>
    <col min="2" max="2" width="11.1796875" style="1" bestFit="1" customWidth="1"/>
    <col min="3" max="3" width="11.54296875" style="1" bestFit="1" customWidth="1"/>
    <col min="4" max="4" width="8.7265625" style="1"/>
    <col min="5" max="5" width="13.7265625" style="1" bestFit="1" customWidth="1"/>
    <col min="6" max="6" width="8.7265625" style="1"/>
    <col min="7" max="7" width="13.7265625" style="1" bestFit="1" customWidth="1"/>
    <col min="8" max="8" width="9.1796875" style="1" bestFit="1" customWidth="1"/>
    <col min="9" max="10" width="8.7265625" style="1"/>
    <col min="11" max="11" width="11.90625" style="1" bestFit="1" customWidth="1"/>
    <col min="12" max="12" width="10.08984375" style="1" bestFit="1" customWidth="1"/>
    <col min="13" max="13" width="17.36328125" style="1" bestFit="1" customWidth="1"/>
    <col min="14" max="23" width="8.7265625" style="1"/>
    <col min="24" max="24" width="12.6328125" style="1" bestFit="1" customWidth="1"/>
    <col min="25" max="16384" width="8.7265625" style="1"/>
  </cols>
  <sheetData>
    <row r="1" spans="1:17" ht="87" x14ac:dyDescent="0.35">
      <c r="A1" s="97" t="s">
        <v>151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55" t="s">
        <v>129</v>
      </c>
      <c r="Q1" s="55" t="s">
        <v>130</v>
      </c>
    </row>
    <row r="2" spans="1:17" x14ac:dyDescent="0.35">
      <c r="A2" s="35" t="s">
        <v>147</v>
      </c>
      <c r="B2" s="35" t="s">
        <v>148</v>
      </c>
      <c r="C2" s="35" t="s">
        <v>149</v>
      </c>
      <c r="D2" s="1" t="s">
        <v>3</v>
      </c>
      <c r="E2" s="1" t="s">
        <v>4</v>
      </c>
      <c r="F2" s="1" t="s">
        <v>10</v>
      </c>
      <c r="G2" s="1" t="s">
        <v>17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24</v>
      </c>
      <c r="N2" s="1" t="s">
        <v>15</v>
      </c>
      <c r="P2" s="1" t="s">
        <v>28</v>
      </c>
      <c r="Q2" s="1" t="s">
        <v>29</v>
      </c>
    </row>
    <row r="3" spans="1:17" x14ac:dyDescent="0.35">
      <c r="A3" s="1" t="s">
        <v>5</v>
      </c>
      <c r="D3" s="1">
        <f>COUNTIFS(C24:C73,"I",B24:B73,"F")</f>
        <v>0</v>
      </c>
      <c r="E3" s="1">
        <f>COUNTIFS(C24:C73,"I",B24:B73,"M")</f>
        <v>0</v>
      </c>
      <c r="F3" s="8"/>
      <c r="G3" s="8"/>
      <c r="H3" s="8"/>
      <c r="I3" s="8"/>
      <c r="J3" s="8"/>
      <c r="K3" s="8"/>
      <c r="L3" s="8"/>
      <c r="M3" s="8"/>
      <c r="N3" s="8">
        <f>SUM(I24:I73)</f>
        <v>3</v>
      </c>
      <c r="O3" s="8" t="s">
        <v>43</v>
      </c>
      <c r="P3" s="1">
        <f>COUNTIF(J24:J73,"DC")</f>
        <v>2</v>
      </c>
      <c r="Q3" s="1">
        <f>COUNTIF(J24:J73,"ED")</f>
        <v>5</v>
      </c>
    </row>
    <row r="4" spans="1:17" x14ac:dyDescent="0.35">
      <c r="A4" s="1" t="s">
        <v>6</v>
      </c>
      <c r="B4" s="1" t="s">
        <v>11</v>
      </c>
      <c r="D4" s="1">
        <f>COUNTIFS($C$24:$C$73,"C",$B$24:$B$73,"F",$E$24:$E$73,"C")</f>
        <v>0</v>
      </c>
      <c r="E4" s="1">
        <f>COUNTIFS($C$24:$C$73,"C",$B$24:$B$73,"M",$E$24:$E$73,"C")</f>
        <v>1</v>
      </c>
      <c r="F4" s="1">
        <f>COUNTIFS($C$24:$C$73,"C",$D$24:$D$73,"W",$E$24:$E$73,"C")</f>
        <v>1</v>
      </c>
      <c r="G4" s="1">
        <f>COUNTIFS($C$24:$C$73,"C",$D$24:$D$73,"OE",$E$24:$E$73,"C")</f>
        <v>0</v>
      </c>
      <c r="H4" s="1">
        <f>COUNTIFS($C$24:$C$73,"C",$F$24:$F$73,"Sed",$E$24:$E$73,"C")</f>
        <v>0</v>
      </c>
      <c r="I4" s="1">
        <f>COUNTIFS($C$24:$C$73,"C",$F$24:$F$73,"Walk",$E$24:$E$73,"C")</f>
        <v>0</v>
      </c>
      <c r="J4" s="1">
        <f>COUNTIFS($C$24:$C$73,"C",$F$24:$F$73,"Vig",$E$24:$E$73,"C")</f>
        <v>1</v>
      </c>
      <c r="K4" s="1">
        <f>COUNTIFS($C$24:$C$73,"C",$G$24:$G$73,"TN",$E$24:$E$73,"C")</f>
        <v>0</v>
      </c>
      <c r="L4" s="1">
        <f>COUNTIFS($C$24:$C$73,"C",$G$24:$G$73,"C",$E$24:$E$73,"C")</f>
        <v>0</v>
      </c>
      <c r="M4" s="1">
        <f>COUNTIFS($C$24:$C$73,"C",$H$24:$H$73,"Y",$E$24:$E$73,"C")</f>
        <v>0</v>
      </c>
      <c r="N4" s="1">
        <f>MIN(I24:I73)</f>
        <v>3</v>
      </c>
      <c r="O4" s="1" t="s">
        <v>44</v>
      </c>
    </row>
    <row r="5" spans="1:17" ht="43.5" x14ac:dyDescent="0.35">
      <c r="B5" s="66" t="s">
        <v>146</v>
      </c>
      <c r="D5" s="1">
        <f>COUNTIFS($C$24:$C$73,"C",$B$24:$B$73,"F",$E$24:$E$73,"UP")</f>
        <v>0</v>
      </c>
      <c r="E5" s="1">
        <f>COUNTIFS($C$24:$C$73,"C",$B$24:$B$73,"M",$E$24:$E$73,"UP")</f>
        <v>0</v>
      </c>
      <c r="F5" s="1">
        <f>COUNTIFS($C$24:$C$73,"C",$D$24:$D$73,"W",$E$24:$E$73,"UP")</f>
        <v>0</v>
      </c>
      <c r="G5" s="1">
        <f>COUNTIFS($C$24:$C$73,"C",$D$24:$D$73,"OE",$E$24:$E$73,"UP")</f>
        <v>0</v>
      </c>
      <c r="H5" s="1">
        <f>COUNTIFS($C$24:$C$73,"C",$F$24:$F$73,"Sed",$E$24:$E$73,"UP")</f>
        <v>0</v>
      </c>
      <c r="I5" s="1">
        <f>COUNTIFS($C$24:$C$73,"C",$F$24:$F$73,"Walk",$E$24:$E$73,"UP")</f>
        <v>0</v>
      </c>
      <c r="J5" s="1">
        <f>COUNTIFS($C$24:$C$73,"C",$F$24:$F$73,"Vig",$E$24:$E$73,"UP")</f>
        <v>0</v>
      </c>
      <c r="K5" s="1">
        <f>COUNTIFS($C$24:$C$73,"C",$G$24:$G$73,"TN",$E$24:$E$73,"UP")</f>
        <v>0</v>
      </c>
      <c r="L5" s="1">
        <f>COUNTIFS($C$24:$C$73,"C",$G$24:$G$73,"C",$E$24:$E$73,"UP")</f>
        <v>0</v>
      </c>
      <c r="M5" s="1">
        <f>COUNTIFS($C$24:$C$73,"C",$H$24:$H$73,"Y",$E$24:$E$73,"UP")</f>
        <v>0</v>
      </c>
      <c r="N5" s="1">
        <f>MAX(I24:I73)</f>
        <v>3</v>
      </c>
      <c r="O5" s="1" t="s">
        <v>45</v>
      </c>
    </row>
    <row r="6" spans="1:17" x14ac:dyDescent="0.35">
      <c r="B6" s="1" t="s">
        <v>18</v>
      </c>
      <c r="D6" s="1">
        <f>COUNTIFS($C$24:$C$73,"C",$B$24:$B$73,"F",$E$24:$E$73,"DW")</f>
        <v>0</v>
      </c>
      <c r="E6" s="1">
        <f>COUNTIFS($C$24:$C$73,"C",$B$24:$B$73,"M",$E$24:$E$73,"DW")</f>
        <v>0</v>
      </c>
      <c r="F6" s="1">
        <f>COUNTIFS($C$24:$C$73,"C",$D$24:$D$73,"W",$E$24:$E$73,"DW")</f>
        <v>0</v>
      </c>
      <c r="G6" s="1">
        <f>COUNTIFS($C$24:$C$73,"C",$D$24:$D$73,"OE",$E$24:$E$73,"DW")</f>
        <v>0</v>
      </c>
      <c r="H6" s="1">
        <f>COUNTIFS($C$24:$C$73,"C",$F$24:$F$73,"Sed",$E$24:$E$73,"DW")</f>
        <v>0</v>
      </c>
      <c r="I6" s="1">
        <f>COUNTIFS($C$24:$C$73,"C",$F$24:$F$73,"Walk",$E$24:$E$73,"DW")</f>
        <v>0</v>
      </c>
      <c r="J6" s="1">
        <f>COUNTIFS($C$24:$C$73,"C",$F$24:$F$73,"Vig",$E$24:$E$73,"DW")</f>
        <v>0</v>
      </c>
      <c r="K6" s="1">
        <f>COUNTIFS($C$24:$C$73,"C",$G$24:$G$73,"TN",$E$24:$E$73,"DW")</f>
        <v>0</v>
      </c>
      <c r="L6" s="1">
        <f>COUNTIFS($C$24:$C$73,"C",$G$24:$G$73,"C",$E$24:$E$73,"DW")</f>
        <v>0</v>
      </c>
      <c r="M6" s="1">
        <f>COUNTIFS($C$24:$C$73,"C",$H$24:$H$73,"Y",$E$24:$E$73,"DW")</f>
        <v>0</v>
      </c>
      <c r="N6" s="1">
        <f>AVERAGE(I24:I73)</f>
        <v>3</v>
      </c>
      <c r="O6" s="1" t="s">
        <v>46</v>
      </c>
    </row>
    <row r="7" spans="1:17" x14ac:dyDescent="0.35">
      <c r="B7" s="1" t="s">
        <v>13</v>
      </c>
      <c r="D7" s="1">
        <f>COUNTIFS($C$24:$C$73,"C",$B$24:$B$73,"F",$E$24:$E$73,"WR")</f>
        <v>0</v>
      </c>
      <c r="E7" s="1">
        <f>COUNTIFS($C$24:$C$73,"C",$B$24:$B$73,"M",$E$24:$E$73,"WR")</f>
        <v>0</v>
      </c>
      <c r="F7" s="1">
        <f>COUNTIFS($C$24:$C$73,"C",$D$24:$D$73,"W",$E$24:$E$73,"WR")</f>
        <v>0</v>
      </c>
      <c r="G7" s="1">
        <f>COUNTIFS($C$24:$C$73,"C",$D$24:$D$73,"OE",$E$24:$E$73,"WR")</f>
        <v>0</v>
      </c>
      <c r="H7" s="1">
        <f>COUNTIFS($C$24:$C$73,"C",$F$24:$F$73,"Sed",$E$24:$E$73,"WR")</f>
        <v>0</v>
      </c>
      <c r="I7" s="1">
        <f>COUNTIFS($C$24:$C$73,"C",$F$24:$F$73,"Walk",$E$24:$E$73,"WR")</f>
        <v>0</v>
      </c>
      <c r="J7" s="1">
        <f>COUNTIFS($C$24:$C$73,"C",$F$24:$F$73,"Vig",$E$24:$E$73,"WR")</f>
        <v>0</v>
      </c>
      <c r="K7" s="1">
        <f>COUNTIFS($C$24:$C$73,"C",$G$24:$G$73,"TN",$E$24:$E$73,"WR")</f>
        <v>0</v>
      </c>
      <c r="L7" s="1">
        <f>COUNTIFS($C$24:$C$73,"C",$G$24:$G$73,"C",$E$24:$E$73,"WR")</f>
        <v>0</v>
      </c>
      <c r="M7" s="1">
        <f>COUNTIFS($C$24:$C$73,"C",$H$24:$H$73,"Y",$E$24:$E$73,"WR")</f>
        <v>0</v>
      </c>
    </row>
    <row r="8" spans="1:17" x14ac:dyDescent="0.35">
      <c r="A8" s="1" t="s">
        <v>7</v>
      </c>
      <c r="B8" s="1" t="s">
        <v>11</v>
      </c>
      <c r="D8" s="1">
        <f>COUNTIFS($C$24:$C$73,"T",$B$24:$B$73,"F",$E$24:$E$73,"C")</f>
        <v>0</v>
      </c>
      <c r="E8" s="1">
        <f>COUNTIFS($C$24:$C$73,"T",$B$24:$B$73,"M",$E$24:$E$73,"C")</f>
        <v>0</v>
      </c>
      <c r="F8" s="1">
        <f>COUNTIFS($C$24:$C$73,"T",$D$24:$D$73,"W",$E$24:$E$73,"C")</f>
        <v>0</v>
      </c>
      <c r="G8" s="1">
        <f>COUNTIFS($C$24:$C$73,"T",$D$24:$D$73,"OE",$E$24:$E$73,"C")</f>
        <v>0</v>
      </c>
      <c r="H8" s="1">
        <f>COUNTIFS($C$24:$C$73,"T",$F$24:$F$73,"Sed",$E$24:$E$73,"C")</f>
        <v>0</v>
      </c>
      <c r="I8" s="1">
        <f>COUNTIFS($C$24:$C$73,"T",$F$24:$F$73,"Walk",$E$24:$E$73,"C")</f>
        <v>0</v>
      </c>
      <c r="J8" s="1">
        <f>COUNTIFS($C$24:$C$73,"T",$F$24:$F$73,"Vig",$E$24:$E$73,"C")</f>
        <v>0</v>
      </c>
      <c r="K8" s="1">
        <f>COUNTIFS($C$24:$C$73,"T",$G$24:$G$73,"TN",$E$24:$E$73,"C")</f>
        <v>0</v>
      </c>
      <c r="L8" s="1">
        <f>COUNTIFS($C$24:$C$73,"T",$G$24:$G$73,"C",$E$24:$E$73,"C")</f>
        <v>0</v>
      </c>
      <c r="M8" s="1">
        <f>COUNTIFS($C$24:$C$73,"T",$H$24:$H$73,"Y",$E$24:$E$73,"C")</f>
        <v>0</v>
      </c>
    </row>
    <row r="9" spans="1:17" ht="43.5" x14ac:dyDescent="0.35">
      <c r="B9" s="66" t="s">
        <v>146</v>
      </c>
      <c r="D9" s="1">
        <f>COUNTIFS($C$24:$C$73,"T",$B$24:$B$73,"F",$E$24:$E$73,"UP")</f>
        <v>0</v>
      </c>
      <c r="E9" s="1">
        <f>COUNTIFS($C$24:$C$73,"T",$B$24:$B$73,"M",$E$24:$E$73,"UP")</f>
        <v>0</v>
      </c>
      <c r="F9" s="1">
        <f>COUNTIFS($C$24:$C$73,"T",$D$24:$D$73,"W",$E$24:$E$73,"UP")</f>
        <v>0</v>
      </c>
      <c r="G9" s="1">
        <f>COUNTIFS($C$24:$C$73,"T",$D$24:$D$73,"OE",$E$24:$E$73,"UP")</f>
        <v>0</v>
      </c>
      <c r="H9" s="1">
        <f>COUNTIFS($C$24:$C$73,"T",$F$24:$F$73,"Sed",$E$24:$E$73,"UP")</f>
        <v>0</v>
      </c>
      <c r="I9" s="1">
        <f>COUNTIFS($C$24:$C$73,"T",$F$24:$F$73,"Walk",$E$24:$E$73,"UP")</f>
        <v>0</v>
      </c>
      <c r="J9" s="1">
        <f>COUNTIFS($C$24:$C$73,"T",$F$24:$F$73,"Vig",$E$24:$E$73,"UP")</f>
        <v>0</v>
      </c>
      <c r="K9" s="1">
        <f>COUNTIFS($C$24:$C$73,"T",$G$24:$G$73,"TN",$E$24:$E$73,"UP")</f>
        <v>0</v>
      </c>
      <c r="L9" s="1">
        <f>COUNTIFS($C$24:$C$73,"T",$G$24:$G$73,"C",$E$24:$E$73,"UP")</f>
        <v>0</v>
      </c>
      <c r="M9" s="1">
        <f>COUNTIFS($C$24:$C$73,"T",$H$24:$H$73,"Y",$E$24:$E$73,"UP")</f>
        <v>0</v>
      </c>
    </row>
    <row r="10" spans="1:17" x14ac:dyDescent="0.35">
      <c r="B10" s="1" t="s">
        <v>18</v>
      </c>
      <c r="D10" s="1">
        <f>COUNTIFS($C$24:$C$73,"T",$B$24:$B$73,"F",$E$24:$E$73,"DW")</f>
        <v>0</v>
      </c>
      <c r="E10" s="1">
        <f>COUNTIFS($C$24:$C$73,"T",$B$24:$B$73,"M",$E$24:$E$73,"DW")</f>
        <v>0</v>
      </c>
      <c r="F10" s="1">
        <f>COUNTIFS($C$24:$C$73,"T",$D$24:$D$73,"W",$E$24:$E$73,"DW")</f>
        <v>0</v>
      </c>
      <c r="G10" s="1">
        <f>COUNTIFS($C$24:$C$73,"T",$D$24:$D$73,"OE",$E$24:$E$73,"DW")</f>
        <v>0</v>
      </c>
      <c r="H10" s="1">
        <f>COUNTIFS($C$24:$C$73,"T",$F$24:$F$73,"Sed",$E$24:$E$73,"DW")</f>
        <v>0</v>
      </c>
      <c r="I10" s="1">
        <f>COUNTIFS($C$24:$C$73,"T",$F$24:$F$73,"Walk",$E$24:$E$73,"DW")</f>
        <v>0</v>
      </c>
      <c r="J10" s="1">
        <f>COUNTIFS($C$24:$C$73,"T",$F$24:$F$73,"Vig",$E$24:$E$73,"DW")</f>
        <v>0</v>
      </c>
      <c r="K10" s="1">
        <f>COUNTIFS($C$24:$C$73,"T",$G$24:$G$73,"TN",$E$24:$E$73,"DW")</f>
        <v>0</v>
      </c>
      <c r="L10" s="1">
        <f>COUNTIFS($C$24:$C$73,"T",$G$24:$G$73,"C",$E$24:$E$73,"DW")</f>
        <v>0</v>
      </c>
      <c r="M10" s="1">
        <f>COUNTIFS($C$24:$C$73,"T",$H$24:$H$73,"Y",$E$24:$E$73,"DW")</f>
        <v>0</v>
      </c>
    </row>
    <row r="11" spans="1:17" x14ac:dyDescent="0.35">
      <c r="B11" s="1" t="s">
        <v>13</v>
      </c>
      <c r="D11" s="1">
        <f>COUNTIFS($C$24:$C$73,"T",$B$24:$B$73,"F",$E$24:$E$73,"WR")</f>
        <v>0</v>
      </c>
      <c r="E11" s="1">
        <f>COUNTIFS($C$24:$C$73,"T",$B$24:$B$73,"M",$E$24:$E$73,"WR")</f>
        <v>0</v>
      </c>
      <c r="F11" s="1">
        <f>COUNTIFS($C$24:$C$73,"T",$D$24:$D$73,"W",$E$24:$E$73,"WR")</f>
        <v>0</v>
      </c>
      <c r="G11" s="1">
        <f>COUNTIFS($C$24:$C$73,"T",$D$24:$D$73,"OE",$E$24:$E$73,"WR")</f>
        <v>0</v>
      </c>
      <c r="H11" s="1">
        <f>COUNTIFS($C$24:$C$73,"T",$F$24:$F$73,"Sed",$E$24:$E$73,"WR")</f>
        <v>0</v>
      </c>
      <c r="I11" s="1">
        <f>COUNTIFS($C$24:$C$73,"T",$F$24:$F$73,"Walk",$E$24:$E$73,"WR")</f>
        <v>0</v>
      </c>
      <c r="J11" s="1">
        <f>COUNTIFS($C$24:$C$73,"T",$F$24:$F$73,"Vig",$E$24:$E$73,"WR")</f>
        <v>0</v>
      </c>
      <c r="K11" s="1">
        <f>COUNTIFS($C$24:$C$73,"T",$G$24:$G$73,"TN",$E$24:$E$73,"WR")</f>
        <v>0</v>
      </c>
      <c r="L11" s="1">
        <f>COUNTIFS($C$24:$C$73,"T",$G$24:$G$73,"C",$E$24:$E$73,"WR")</f>
        <v>0</v>
      </c>
      <c r="M11" s="1">
        <f>COUNTIFS($C$24:$C$73,"T",$H$24:$H$73,"Y",$E$24:$E$73,"WR")</f>
        <v>0</v>
      </c>
    </row>
    <row r="12" spans="1:17" x14ac:dyDescent="0.35">
      <c r="A12" s="1" t="s">
        <v>8</v>
      </c>
      <c r="B12" s="1" t="s">
        <v>11</v>
      </c>
      <c r="D12" s="1">
        <f>COUNTIFS($C$24:$C$73,"A",$B$24:$B$73,"F",$E$24:$E$73,"C")</f>
        <v>0</v>
      </c>
      <c r="E12" s="1">
        <f>COUNTIFS($C$24:$C$73,"A",$B$24:$B$73,"M",$E$24:$E$73,"C")</f>
        <v>3</v>
      </c>
      <c r="F12" s="1">
        <f>COUNTIFS($C$24:$C$73,"A",$D$24:$D$73,"W",$E$24:$E$73,"C")</f>
        <v>2</v>
      </c>
      <c r="G12" s="1">
        <f>COUNTIFS($C$24:$C$73,"A",$D$24:$D$73,"OE",$E$24:$E$73,"C")</f>
        <v>1</v>
      </c>
      <c r="H12" s="1">
        <f>COUNTIFS($C$24:$C$73,"A",$F$24:$F$73,"Sed",$E$24:$E$73,"C")</f>
        <v>0</v>
      </c>
      <c r="I12" s="1">
        <f>COUNTIFS($C$24:$C$73,"A",$F$24:$F$73,"Walk",$E$24:$E$73,"C")</f>
        <v>0</v>
      </c>
      <c r="J12" s="1">
        <f>COUNTIFS($C$24:$C$73,"A",$F$24:$F$73,"Vig",$E$24:$E$73,"C")</f>
        <v>3</v>
      </c>
      <c r="K12" s="1">
        <f>COUNTIFS($C$24:$C$73,"A",$G$24:$G$73,"TN",$E$24:$E$73,"C")</f>
        <v>0</v>
      </c>
      <c r="L12" s="1">
        <f>COUNTIFS($C$24:$C$73,"A",$G$24:$G$73,"C",$E$24:$E$73,"C")</f>
        <v>0</v>
      </c>
      <c r="M12" s="1">
        <f>COUNTIFS($C$24:$C$73,"A",$H$24:$H$73,"Y",$E$24:$E$73,"C")</f>
        <v>0</v>
      </c>
    </row>
    <row r="13" spans="1:17" ht="43.5" x14ac:dyDescent="0.35">
      <c r="B13" s="66" t="s">
        <v>146</v>
      </c>
      <c r="D13" s="1">
        <f>COUNTIFS($C$24:$C$73,"A",$B$24:$B$73,"F",$E$24:$E$73,"UP")</f>
        <v>0</v>
      </c>
      <c r="E13" s="1">
        <f>COUNTIFS($C$24:$C$73,"A",$B$24:$B$73,"M",$E$24:$E$73,"UP")</f>
        <v>0</v>
      </c>
      <c r="F13" s="1">
        <f>COUNTIFS($C$24:$C$73,"A",$D$24:$D$73,"W",$E$24:$E$73,"UP")</f>
        <v>0</v>
      </c>
      <c r="G13" s="1">
        <f>COUNTIFS($C$24:$C$73,"A",$D$24:$D$73,"OE",$E$24:$E$73,"UP")</f>
        <v>0</v>
      </c>
      <c r="H13" s="1">
        <f>COUNTIFS($C$24:$C$73,"A",$F$24:$F$73,"Sed",$E$24:$E$73,"UP")</f>
        <v>0</v>
      </c>
      <c r="I13" s="1">
        <f>COUNTIFS($C$24:$C$73,"A",$F$24:$F$73,"Walk",$E$24:$E$73,"UP")</f>
        <v>0</v>
      </c>
      <c r="J13" s="1">
        <f>COUNTIFS($C$24:$C$73,"A",$F$24:$F$73,"Vig",$E$24:$E$73,"UP")</f>
        <v>0</v>
      </c>
      <c r="K13" s="1">
        <f>COUNTIFS($C$24:$C$73,"A",$G$24:$G$73,"TN",$E$24:$E$73,"UP")</f>
        <v>0</v>
      </c>
      <c r="L13" s="1">
        <f>COUNTIFS($C$24:$C$73,"A",$G$24:$G$73,"C",$E$24:$E$73,"UP")</f>
        <v>0</v>
      </c>
      <c r="M13" s="1">
        <f>COUNTIFS($C$24:$C$73,"A",$H$24:$H$73,"Y",$E$24:$E$73,"UP")</f>
        <v>0</v>
      </c>
    </row>
    <row r="14" spans="1:17" x14ac:dyDescent="0.35">
      <c r="B14" s="1" t="s">
        <v>18</v>
      </c>
      <c r="D14" s="1">
        <f>COUNTIFS($C$24:$C$73,"A",$B$24:$B$73,"F",$E$24:$E$73,"DW")</f>
        <v>0</v>
      </c>
      <c r="E14" s="1">
        <f>COUNTIFS($C$24:$C$73,"A",$B$24:$B$73,"M",$E$24:$E$73,"DW")</f>
        <v>0</v>
      </c>
      <c r="F14" s="1">
        <f>COUNTIFS($C$24:$C$73,"A",$D$24:$D$73,"W",$E$24:$E$73,"DW")</f>
        <v>0</v>
      </c>
      <c r="G14" s="1">
        <f>COUNTIFS($C$24:$C$73,"A",$D$24:$D$73,"OE",$E$24:$E$73,"DW")</f>
        <v>0</v>
      </c>
      <c r="H14" s="1">
        <f>COUNTIFS($C$24:$C$73,"A",$F$24:$F$73,"Sed",$E$24:$E$73,"DW")</f>
        <v>0</v>
      </c>
      <c r="I14" s="1">
        <f>COUNTIFS($C$24:$C$73,"A",$F$24:$F$73,"Walk",$E$24:$E$73,"DW")</f>
        <v>0</v>
      </c>
      <c r="J14" s="1">
        <f>COUNTIFS($C$24:$C$73,"A",$F$24:$F$73,"Vig",$E$24:$E$73,"DW")</f>
        <v>0</v>
      </c>
      <c r="K14" s="1">
        <f>COUNTIFS($C$24:$C$73,"A",$G$24:$G$73,"TN",$E$24:$E$73,"DW")</f>
        <v>0</v>
      </c>
      <c r="L14" s="1">
        <f>COUNTIFS($C$24:$C$73,"A",$G$24:$G$73,"C",$E$24:$E$73,"DW")</f>
        <v>0</v>
      </c>
      <c r="M14" s="1">
        <f>COUNTIFS($C$24:$C$73,"A",$H$24:$H$73,"Y",$E$24:$E$73,"DW")</f>
        <v>0</v>
      </c>
    </row>
    <row r="15" spans="1:17" x14ac:dyDescent="0.35">
      <c r="B15" s="1" t="s">
        <v>13</v>
      </c>
      <c r="D15" s="1">
        <f>COUNTIFS($C$24:$C$73,"A",$B$24:$B$73,"F",$E$24:$E$73,"WR")</f>
        <v>1</v>
      </c>
      <c r="E15" s="1">
        <f>COUNTIFS($C$24:$C$73,"A",$B$24:$B$73,"M",$E$24:$E$73,"WR")</f>
        <v>2</v>
      </c>
      <c r="F15" s="1">
        <f>COUNTIFS($C$24:$C$73,"A",$D$24:$D$73,"W",$E$24:$E$73,"WR")</f>
        <v>3</v>
      </c>
      <c r="G15" s="1">
        <f>COUNTIFS($C$24:$C$73,"A",$D$24:$D$73,"OE",$E$24:$E$73,"WR")</f>
        <v>0</v>
      </c>
      <c r="H15" s="1">
        <f>COUNTIFS($C$24:$C$73,"A",$F$24:$F$73,"Sed",$E$24:$E$73,"WR")</f>
        <v>0</v>
      </c>
      <c r="I15" s="1">
        <f>COUNTIFS($C$24:$C$73,"A",$F$24:$F$73,"Walk",$E$24:$E$73,"WR")</f>
        <v>3</v>
      </c>
      <c r="J15" s="1">
        <f>COUNTIFS($C$24:$C$73,"A",$F$24:$F$73,"Vig",$E$24:$E$73,"WR")</f>
        <v>0</v>
      </c>
      <c r="K15" s="1">
        <f>COUNTIFS($C$24:$C$73,"A",$G$24:$G$73,"TN",$E$24:$E$73,"WR")</f>
        <v>0</v>
      </c>
      <c r="L15" s="1">
        <f>COUNTIFS($C$24:$C$73,"A",$G$24:$G$73,"C",$E$24:$E$73,"WR")</f>
        <v>0</v>
      </c>
      <c r="M15" s="1">
        <f>COUNTIFS($C$24:$C$73,"A",$H$24:$H$73,"Y",$E$24:$E$73,"WR")</f>
        <v>0</v>
      </c>
    </row>
    <row r="16" spans="1:17" x14ac:dyDescent="0.35">
      <c r="B16" s="1" t="s">
        <v>74</v>
      </c>
      <c r="D16" s="1">
        <f>COUNTIFS($C$24:$C$73,"A",$B$24:$B$73,"F",$E$24:$E$73,"S")</f>
        <v>0</v>
      </c>
      <c r="E16" s="1">
        <f>COUNTIFS($C$24:$C$73,"A",$B$24:$B$73,"M",$E$24:$E$73,"S")</f>
        <v>0</v>
      </c>
      <c r="F16" s="1">
        <f>COUNTIFS($C$24:$C$73,"A",$D$24:$D$73,"W",$E$24:$E$73,"S")</f>
        <v>0</v>
      </c>
      <c r="G16" s="1">
        <f>COUNTIFS($C$24:$C$73,"A",$D$24:$D$73,"OE",$E$24:$E$73,"S")</f>
        <v>0</v>
      </c>
      <c r="H16" s="1">
        <f>COUNTIFS($C$24:$C$73,"A",$F$24:$F$73,"Sed",$E$24:$E$73,"S")</f>
        <v>0</v>
      </c>
      <c r="I16" s="1">
        <f>COUNTIFS($C$24:$C$73,"A",$F$24:$F$73,"Walk",$E$24:$E$73,"S")</f>
        <v>0</v>
      </c>
      <c r="J16" s="1">
        <f>COUNTIFS($C$24:$C$73,"A",$F$24:$F$73,"Vig",$E$24:$E$73,"S")</f>
        <v>0</v>
      </c>
      <c r="K16" s="1">
        <f>COUNTIFS($C$24:$C$73,"A",$G$24:$G$73,"TN",$E$24:$E$73,"S")</f>
        <v>0</v>
      </c>
      <c r="L16" s="1">
        <f>COUNTIFS($C$24:$C$73,"A",$G$24:$G$73,"C",$E$24:$E$73,"S")</f>
        <v>0</v>
      </c>
      <c r="M16" s="1">
        <f>COUNTIFS($C$24:$C$73,"A",$H$24:$H$73,"Y",$E$24:$E$73,"S")</f>
        <v>0</v>
      </c>
    </row>
    <row r="17" spans="1:23" x14ac:dyDescent="0.35">
      <c r="A17" s="1" t="s">
        <v>9</v>
      </c>
      <c r="B17" s="1" t="s">
        <v>11</v>
      </c>
      <c r="D17" s="1">
        <f>COUNTIFS($C$24:$C$73,"OA",$B$24:$B$73,"F",$E$24:$E$73,"C")</f>
        <v>0</v>
      </c>
      <c r="E17" s="1">
        <f>COUNTIFS($C$24:$C$73,"OA",$B$24:$B$73,"M",$E$24:$E$73,"C")</f>
        <v>0</v>
      </c>
      <c r="F17" s="1">
        <f>COUNTIFS($C$24:$C$73,"OA",$D$24:$D$73,"W",$E$24:$E$73,"C")</f>
        <v>0</v>
      </c>
      <c r="G17" s="1">
        <f>COUNTIFS($C$24:$C$73,"OA",$D$24:$D$73,"OE",$E$24:$E$73,"C")</f>
        <v>0</v>
      </c>
      <c r="H17" s="1">
        <f>COUNTIFS($C$24:$C$73,"OA",$F$24:$F$73,"Sed",$E$24:$E$73,"C")</f>
        <v>0</v>
      </c>
      <c r="I17" s="1">
        <f>COUNTIFS($C$24:$C$73,"OA",$F$24:$F$73,"Walk",$E$24:$E$73,"C")</f>
        <v>0</v>
      </c>
      <c r="J17" s="1">
        <f>COUNTIFS($C$24:$C$73,"OA",$F$24:$F$73,"Vig",$E$24:$E$73,"C")</f>
        <v>0</v>
      </c>
      <c r="K17" s="1">
        <f>COUNTIFS($C$24:$C$73,"OA",$G$24:$G$73,"TN",$E$24:$E$73,"C")</f>
        <v>0</v>
      </c>
      <c r="L17" s="1">
        <f>COUNTIFS($C$24:$C$73,"OA",$G$24:$G$73,"C",$E$24:$E$73,"C")</f>
        <v>0</v>
      </c>
      <c r="M17" s="1">
        <f>COUNTIFS($C$24:$C$73,"OA",$H$24:$H$73,"Y",$E$24:$E$73,"C")</f>
        <v>0</v>
      </c>
    </row>
    <row r="18" spans="1:23" ht="43.5" x14ac:dyDescent="0.35">
      <c r="B18" s="66" t="s">
        <v>146</v>
      </c>
      <c r="D18" s="1">
        <f>COUNTIFS($C$24:$C$73,"OA",$B$24:$B$73,"F",$E$24:$E$73,"UP")</f>
        <v>0</v>
      </c>
      <c r="E18" s="1">
        <f>COUNTIFS($C$24:$C$73,"OA",$B$24:$B$73,"M",$E$24:$E$73,"UP")</f>
        <v>0</v>
      </c>
      <c r="F18" s="1">
        <f>COUNTIFS($C$24:$C$73,"OA",$D$24:$D$73,"W",$E$24:$E$73,"UP")</f>
        <v>0</v>
      </c>
      <c r="G18" s="1">
        <f>COUNTIFS($C$24:$C$73,"OA",$D$24:$D$73,"OE",$E$24:$E$73,"UP")</f>
        <v>0</v>
      </c>
      <c r="H18" s="1">
        <f>COUNTIFS($C$24:$C$73,"OA",$F$24:$F$73,"Sed",$E$24:$E$73,"UP")</f>
        <v>0</v>
      </c>
      <c r="I18" s="1">
        <f>COUNTIFS($C$24:$C$73,"OA",$F$24:$F$73,"Walk",$E$24:$E$73,"UP")</f>
        <v>0</v>
      </c>
      <c r="J18" s="1">
        <f>COUNTIFS($C$24:$C$73,"OA",$F$24:$F$73,"Vig",$E$24:$E$73,"UP")</f>
        <v>0</v>
      </c>
      <c r="K18" s="1">
        <f>COUNTIFS($C$24:$C$73,"OA",$G$24:$G$73,"TN",$E$24:$E$73,"UP")</f>
        <v>0</v>
      </c>
      <c r="L18" s="1">
        <f>COUNTIFS($C$24:$C$73,"OA",$G$24:$G$73,"C",$E$24:$E$73,"UP")</f>
        <v>0</v>
      </c>
      <c r="M18" s="1">
        <f>COUNTIFS($C$24:$C$73,"OA",$H$24:$H$73,"Y",$E$24:$E$73,"UP")</f>
        <v>0</v>
      </c>
    </row>
    <row r="19" spans="1:23" x14ac:dyDescent="0.35">
      <c r="B19" s="1" t="s">
        <v>18</v>
      </c>
      <c r="D19" s="1">
        <f>COUNTIFS($C$24:$C$73,"OA",$B$24:$B$73,"F",$E$24:$E$73,"DW")</f>
        <v>0</v>
      </c>
      <c r="E19" s="1">
        <f>COUNTIFS($C$24:$C$73,"OA",$B$24:$B$73,"M",$E$24:$E$73,"DW")</f>
        <v>0</v>
      </c>
      <c r="F19" s="1">
        <f>COUNTIFS($C$24:$C$73,"OA",$D$24:$D$73,"W",$E$24:$E$73,"DW")</f>
        <v>0</v>
      </c>
      <c r="G19" s="1">
        <f>COUNTIFS($C$24:$C$73,"OA",$D$24:$D$73,"OE",$E$24:$E$73,"DW")</f>
        <v>0</v>
      </c>
      <c r="H19" s="1">
        <f>COUNTIFS($C$24:$C$73,"OA",$F$24:$F$73,"Sed",$E$24:$E$73,"DW")</f>
        <v>0</v>
      </c>
      <c r="I19" s="1">
        <f>COUNTIFS($C$24:$C$73,"OA",$F$24:$F$73,"Walk",$E$24:$E$73,"DW")</f>
        <v>0</v>
      </c>
      <c r="J19" s="1">
        <f>COUNTIFS($C$24:$C$73,"OA",$F$24:$F$73,"Vig",$E$24:$E$73,"DW")</f>
        <v>0</v>
      </c>
      <c r="K19" s="1">
        <f>COUNTIFS($C$24:$C$73,"OA",$G$24:$G$73,"TN",$E$24:$E$73,"DW")</f>
        <v>0</v>
      </c>
      <c r="L19" s="1">
        <f>COUNTIFS($C$24:$C$73,"OA",$G$24:$G$73,"C",$E$24:$E$73,"DW")</f>
        <v>0</v>
      </c>
      <c r="M19" s="1">
        <f>COUNTIFS($C$24:$C$73,"OA",$H$24:$H$73,"Y",$E$24:$E$73,"DW")</f>
        <v>0</v>
      </c>
    </row>
    <row r="20" spans="1:23" x14ac:dyDescent="0.35">
      <c r="B20" s="1" t="s">
        <v>13</v>
      </c>
      <c r="D20" s="1">
        <f>COUNTIFS($C$24:$C$73,"OA",$B$24:$B$73,"F",$E$24:$E$73,"WR")</f>
        <v>0</v>
      </c>
      <c r="E20" s="1">
        <f>COUNTIFS($C$24:$C$73,"OA",$B$24:$B$73,"M",$E$24:$E$73,"WR")</f>
        <v>0</v>
      </c>
      <c r="F20" s="1">
        <f>COUNTIFS($C$24:$C$73,"OA",$D$24:$D$73,"W",$E$24:$E$73,"WR")</f>
        <v>0</v>
      </c>
      <c r="G20" s="1">
        <f>COUNTIFS($C$24:$C$73,"OA",$D$24:$D$73,"OE",$E$24:$E$73,"WR")</f>
        <v>0</v>
      </c>
      <c r="H20" s="1">
        <f>COUNTIFS($C$24:$C$73,"OA",$F$24:$F$73,"Sed",$E$24:$E$73,"WR")</f>
        <v>0</v>
      </c>
      <c r="I20" s="1">
        <f>COUNTIFS($C$24:$C$73,"OA",$F$24:$F$73,"Walk",$E$24:$E$73,"WR")</f>
        <v>0</v>
      </c>
      <c r="J20" s="1">
        <f>COUNTIFS($C$24:$C$73,"OA",$F$24:$F$73,"Vig",$E$24:$E$73,"WR")</f>
        <v>0</v>
      </c>
      <c r="K20" s="1">
        <f>COUNTIFS($C$24:$C$73,"OA",$G$24:$G$73,"TN",$E$24:$E$73,"WR")</f>
        <v>0</v>
      </c>
      <c r="L20" s="1">
        <f>COUNTIFS($C$24:$C$73,"OA",$G$24:$G$73,"C",$E$24:$E$73,"WR")</f>
        <v>0</v>
      </c>
      <c r="M20" s="1">
        <f>COUNTIFS($C$24:$C$73,"OA",$H$24:$H$73,"Y",$E$24:$E$73,"WR")</f>
        <v>0</v>
      </c>
    </row>
    <row r="21" spans="1:23" x14ac:dyDescent="0.35">
      <c r="B21" s="1" t="s">
        <v>74</v>
      </c>
      <c r="D21" s="1">
        <f>COUNTIFS($C$24:$C$73,"OA",$B$24:$B$73,"F",$E$24:$E$73,"S")</f>
        <v>0</v>
      </c>
      <c r="E21" s="1">
        <f>COUNTIFS($C$24:$C$73,"OA",$B$24:$B$73,"M",$E$24:$E$73,"S")</f>
        <v>0</v>
      </c>
      <c r="F21" s="1">
        <f>COUNTIFS($C$24:$C$73,"OA",$D$24:$D$73,"W",$E$24:$E$73,"S")</f>
        <v>0</v>
      </c>
      <c r="G21" s="1">
        <f>COUNTIFS($C$24:$C$73,"OA",$D$24:$D$73,"OE",$E$24:$E$73,"S")</f>
        <v>0</v>
      </c>
      <c r="H21" s="1">
        <f>COUNTIFS($C$24:$C$73,"OA",$F$24:$F$73,"Sed",$E$24:$E$73,"S")</f>
        <v>0</v>
      </c>
      <c r="I21" s="1">
        <f>COUNTIFS($C$24:$C$73,"OA",$F$24:$F$73,"Walk",$E$24:$E$73,"S")</f>
        <v>0</v>
      </c>
      <c r="J21" s="1">
        <f>COUNTIFS($C$24:$C$73,"OA",$F$24:$F$73,"Vig",$E$24:$E$73,"S")</f>
        <v>0</v>
      </c>
      <c r="K21" s="1">
        <f>COUNTIFS($C$24:$C$73,"OA",$G$24:$G$73,"TN",$E$24:$E$73,"S")</f>
        <v>0</v>
      </c>
      <c r="L21" s="1">
        <f>COUNTIFS($C$24:$C$73,"OA",$G$24:$G$73,"C",$E$24:$E$73,"S")</f>
        <v>0</v>
      </c>
      <c r="M21" s="1">
        <f>COUNTIFS($C$24:$C$73,"OA",$H$24:$H$73,"Y",$E$24:$E$73,"S")</f>
        <v>0</v>
      </c>
    </row>
    <row r="22" spans="1:23" x14ac:dyDescent="0.35">
      <c r="A22" s="35" t="s">
        <v>150</v>
      </c>
      <c r="B22" s="3" t="s">
        <v>1</v>
      </c>
      <c r="C22" s="3" t="s">
        <v>31</v>
      </c>
      <c r="D22" s="7" t="s">
        <v>2</v>
      </c>
      <c r="E22" s="7" t="s">
        <v>34</v>
      </c>
      <c r="F22" s="7" t="s">
        <v>36</v>
      </c>
      <c r="G22" s="7"/>
      <c r="H22" s="7"/>
      <c r="I22" s="3"/>
      <c r="J22" s="3"/>
      <c r="K22" s="5"/>
      <c r="L22" s="5"/>
      <c r="M22" s="5"/>
      <c r="N22" s="5"/>
      <c r="O22" s="5"/>
      <c r="P22" s="6"/>
      <c r="Q22" s="6"/>
      <c r="R22" s="6"/>
      <c r="S22" s="6"/>
      <c r="T22" s="6"/>
      <c r="U22" s="4"/>
      <c r="V22" s="4"/>
      <c r="W22" s="4"/>
    </row>
    <row r="23" spans="1:23" x14ac:dyDescent="0.35">
      <c r="A23" s="2" t="s">
        <v>0</v>
      </c>
      <c r="B23" s="3" t="s">
        <v>30</v>
      </c>
      <c r="C23" s="3" t="s">
        <v>32</v>
      </c>
      <c r="D23" s="7" t="s">
        <v>33</v>
      </c>
      <c r="E23" s="7" t="s">
        <v>35</v>
      </c>
      <c r="F23" s="7" t="s">
        <v>37</v>
      </c>
      <c r="G23" s="7" t="s">
        <v>38</v>
      </c>
      <c r="H23" s="7" t="s">
        <v>14</v>
      </c>
      <c r="I23" s="3" t="s">
        <v>39</v>
      </c>
      <c r="J23" s="3" t="s">
        <v>40</v>
      </c>
      <c r="K23" s="5"/>
      <c r="L23" s="5"/>
      <c r="M23" s="5"/>
      <c r="N23" s="5"/>
      <c r="O23" s="5"/>
      <c r="P23" s="6"/>
      <c r="Q23" s="6"/>
      <c r="R23" s="6"/>
      <c r="S23" s="6"/>
      <c r="T23" s="6"/>
      <c r="U23" s="6"/>
      <c r="V23" s="6"/>
      <c r="W23" s="6"/>
    </row>
    <row r="24" spans="1:23" x14ac:dyDescent="0.35">
      <c r="A24" s="1">
        <v>1</v>
      </c>
      <c r="B24" s="1" t="s">
        <v>94</v>
      </c>
      <c r="C24" s="1" t="s">
        <v>91</v>
      </c>
      <c r="D24" s="1" t="s">
        <v>12</v>
      </c>
      <c r="E24" s="1" t="s">
        <v>91</v>
      </c>
      <c r="F24" s="1" t="s">
        <v>105</v>
      </c>
      <c r="I24" s="1">
        <v>3</v>
      </c>
      <c r="J24" s="1" t="s">
        <v>29</v>
      </c>
    </row>
    <row r="25" spans="1:23" x14ac:dyDescent="0.35">
      <c r="A25" s="1">
        <v>2</v>
      </c>
      <c r="B25" s="1" t="s">
        <v>94</v>
      </c>
      <c r="C25" s="1" t="s">
        <v>26</v>
      </c>
      <c r="D25" s="1" t="s">
        <v>12</v>
      </c>
      <c r="E25" s="1" t="s">
        <v>27</v>
      </c>
      <c r="F25" s="1" t="s">
        <v>104</v>
      </c>
      <c r="G25" s="1" t="s">
        <v>106</v>
      </c>
      <c r="J25" s="1" t="s">
        <v>29</v>
      </c>
    </row>
    <row r="26" spans="1:23" x14ac:dyDescent="0.35">
      <c r="A26" s="1">
        <v>3</v>
      </c>
      <c r="B26" s="1" t="s">
        <v>93</v>
      </c>
      <c r="C26" s="1" t="s">
        <v>26</v>
      </c>
      <c r="D26" s="1" t="s">
        <v>12</v>
      </c>
      <c r="E26" s="1" t="s">
        <v>27</v>
      </c>
      <c r="F26" s="1" t="s">
        <v>104</v>
      </c>
      <c r="G26" s="1" t="s">
        <v>106</v>
      </c>
      <c r="J26" s="1" t="s">
        <v>29</v>
      </c>
    </row>
    <row r="27" spans="1:23" x14ac:dyDescent="0.35">
      <c r="A27" s="1">
        <v>4</v>
      </c>
      <c r="B27" s="1" t="s">
        <v>94</v>
      </c>
      <c r="C27" s="1" t="s">
        <v>26</v>
      </c>
      <c r="D27" s="1" t="s">
        <v>12</v>
      </c>
      <c r="E27" s="1" t="s">
        <v>91</v>
      </c>
      <c r="F27" s="1" t="s">
        <v>105</v>
      </c>
      <c r="J27" s="1" t="s">
        <v>29</v>
      </c>
    </row>
    <row r="28" spans="1:23" x14ac:dyDescent="0.35">
      <c r="A28" s="1">
        <v>5</v>
      </c>
      <c r="B28" s="1" t="s">
        <v>94</v>
      </c>
      <c r="C28" s="1" t="s">
        <v>26</v>
      </c>
      <c r="D28" s="1" t="s">
        <v>12</v>
      </c>
      <c r="E28" s="1" t="s">
        <v>27</v>
      </c>
      <c r="F28" s="1" t="s">
        <v>104</v>
      </c>
      <c r="J28" s="1" t="s">
        <v>28</v>
      </c>
    </row>
    <row r="29" spans="1:23" x14ac:dyDescent="0.35">
      <c r="A29" s="1">
        <v>6</v>
      </c>
      <c r="B29" s="1" t="s">
        <v>94</v>
      </c>
      <c r="C29" s="1" t="s">
        <v>26</v>
      </c>
      <c r="D29" s="1" t="s">
        <v>12</v>
      </c>
      <c r="E29" s="1" t="s">
        <v>91</v>
      </c>
      <c r="F29" s="1" t="s">
        <v>105</v>
      </c>
      <c r="J29" s="1" t="s">
        <v>29</v>
      </c>
    </row>
    <row r="30" spans="1:23" x14ac:dyDescent="0.35">
      <c r="A30" s="1">
        <v>7</v>
      </c>
      <c r="B30" s="1" t="s">
        <v>25</v>
      </c>
      <c r="C30" s="1" t="s">
        <v>26</v>
      </c>
      <c r="D30" s="1" t="s">
        <v>92</v>
      </c>
      <c r="E30" s="1" t="s">
        <v>91</v>
      </c>
      <c r="F30" s="1" t="s">
        <v>105</v>
      </c>
      <c r="J30" s="1" t="s">
        <v>28</v>
      </c>
    </row>
    <row r="31" spans="1:23" x14ac:dyDescent="0.35">
      <c r="A31" s="1">
        <v>8</v>
      </c>
    </row>
    <row r="32" spans="1:23" x14ac:dyDescent="0.35">
      <c r="A32" s="1">
        <v>9</v>
      </c>
    </row>
    <row r="33" spans="1:24" x14ac:dyDescent="0.35">
      <c r="A33" s="1">
        <v>10</v>
      </c>
    </row>
    <row r="34" spans="1:24" x14ac:dyDescent="0.35">
      <c r="A34" s="1">
        <v>11</v>
      </c>
    </row>
    <row r="35" spans="1:24" x14ac:dyDescent="0.35">
      <c r="A35" s="1">
        <v>12</v>
      </c>
      <c r="X35" s="1" t="str">
        <f>B37&amp;C35&amp;D35&amp;E35&amp;F35&amp;G35&amp;H35&amp;I35&amp;J35&amp;K35&amp;L35&amp;M35&amp;N35&amp;P35&amp;Q35&amp;R35&amp;S35&amp;T35&amp;U35&amp;V35&amp;W35</f>
        <v/>
      </c>
    </row>
    <row r="36" spans="1:24" x14ac:dyDescent="0.35">
      <c r="A36" s="1">
        <v>13</v>
      </c>
      <c r="X36" s="1" t="str">
        <f>B38&amp;C36&amp;D36&amp;E36&amp;F36&amp;G36&amp;H36&amp;I36&amp;J36&amp;K36&amp;L36&amp;M36&amp;N36&amp;P36&amp;Q36&amp;R36&amp;S36&amp;T36&amp;U36&amp;V36&amp;W36</f>
        <v/>
      </c>
    </row>
    <row r="37" spans="1:24" x14ac:dyDescent="0.35">
      <c r="A37" s="1">
        <v>14</v>
      </c>
    </row>
    <row r="38" spans="1:24" x14ac:dyDescent="0.35">
      <c r="A38" s="1">
        <v>15</v>
      </c>
    </row>
    <row r="39" spans="1:24" x14ac:dyDescent="0.35">
      <c r="A39" s="1">
        <v>16</v>
      </c>
    </row>
    <row r="40" spans="1:24" x14ac:dyDescent="0.35">
      <c r="A40" s="1">
        <v>17</v>
      </c>
    </row>
    <row r="41" spans="1:24" x14ac:dyDescent="0.35">
      <c r="A41" s="1">
        <v>18</v>
      </c>
    </row>
    <row r="42" spans="1:24" x14ac:dyDescent="0.35">
      <c r="A42" s="1">
        <v>19</v>
      </c>
    </row>
    <row r="43" spans="1:24" x14ac:dyDescent="0.35">
      <c r="A43" s="1">
        <v>20</v>
      </c>
    </row>
    <row r="44" spans="1:24" x14ac:dyDescent="0.35">
      <c r="A44" s="1">
        <v>21</v>
      </c>
    </row>
    <row r="45" spans="1:24" x14ac:dyDescent="0.35">
      <c r="A45" s="1">
        <v>22</v>
      </c>
    </row>
    <row r="46" spans="1:24" x14ac:dyDescent="0.35">
      <c r="A46" s="1">
        <v>23</v>
      </c>
    </row>
    <row r="47" spans="1:24" x14ac:dyDescent="0.35">
      <c r="A47" s="1">
        <v>24</v>
      </c>
    </row>
    <row r="48" spans="1:24" x14ac:dyDescent="0.35">
      <c r="A48" s="1">
        <v>25</v>
      </c>
    </row>
    <row r="49" spans="1:24" x14ac:dyDescent="0.35">
      <c r="A49" s="1">
        <v>26</v>
      </c>
    </row>
    <row r="50" spans="1:24" x14ac:dyDescent="0.35">
      <c r="A50" s="1">
        <v>27</v>
      </c>
    </row>
    <row r="51" spans="1:24" x14ac:dyDescent="0.35">
      <c r="A51" s="1">
        <v>28</v>
      </c>
    </row>
    <row r="52" spans="1:24" x14ac:dyDescent="0.35">
      <c r="A52" s="1">
        <v>29</v>
      </c>
    </row>
    <row r="53" spans="1:24" x14ac:dyDescent="0.35">
      <c r="A53" s="1">
        <v>30</v>
      </c>
    </row>
    <row r="54" spans="1:24" x14ac:dyDescent="0.35">
      <c r="A54" s="1">
        <v>31</v>
      </c>
    </row>
    <row r="55" spans="1:24" x14ac:dyDescent="0.35">
      <c r="A55" s="1">
        <v>32</v>
      </c>
      <c r="X55" s="1" t="str">
        <f t="shared" ref="X55:X73" si="0">B55&amp;C55&amp;D55&amp;E55&amp;F55&amp;G55&amp;H55&amp;I55&amp;J55&amp;K55&amp;L55&amp;M55&amp;N55&amp;P55&amp;Q55&amp;R55&amp;S55&amp;T55&amp;U55&amp;V55&amp;W55</f>
        <v/>
      </c>
    </row>
    <row r="56" spans="1:24" x14ac:dyDescent="0.35">
      <c r="A56" s="1">
        <v>33</v>
      </c>
      <c r="X56" s="1" t="str">
        <f t="shared" si="0"/>
        <v/>
      </c>
    </row>
    <row r="57" spans="1:24" x14ac:dyDescent="0.35">
      <c r="A57" s="1">
        <v>34</v>
      </c>
      <c r="X57" s="1" t="str">
        <f t="shared" si="0"/>
        <v/>
      </c>
    </row>
    <row r="58" spans="1:24" x14ac:dyDescent="0.35">
      <c r="A58" s="1">
        <v>35</v>
      </c>
      <c r="X58" s="1" t="str">
        <f t="shared" si="0"/>
        <v/>
      </c>
    </row>
    <row r="59" spans="1:24" x14ac:dyDescent="0.35">
      <c r="A59" s="1">
        <v>36</v>
      </c>
      <c r="X59" s="1" t="str">
        <f t="shared" si="0"/>
        <v/>
      </c>
    </row>
    <row r="60" spans="1:24" x14ac:dyDescent="0.35">
      <c r="A60" s="1">
        <v>37</v>
      </c>
      <c r="X60" s="1" t="str">
        <f t="shared" si="0"/>
        <v/>
      </c>
    </row>
    <row r="61" spans="1:24" x14ac:dyDescent="0.35">
      <c r="A61" s="1">
        <v>38</v>
      </c>
      <c r="X61" s="1" t="str">
        <f t="shared" si="0"/>
        <v/>
      </c>
    </row>
    <row r="62" spans="1:24" x14ac:dyDescent="0.35">
      <c r="A62" s="1">
        <v>39</v>
      </c>
      <c r="X62" s="1" t="str">
        <f t="shared" si="0"/>
        <v/>
      </c>
    </row>
    <row r="63" spans="1:24" x14ac:dyDescent="0.35">
      <c r="A63" s="1">
        <v>40</v>
      </c>
      <c r="X63" s="1" t="str">
        <f t="shared" si="0"/>
        <v/>
      </c>
    </row>
    <row r="64" spans="1:24" x14ac:dyDescent="0.35">
      <c r="A64" s="1">
        <v>41</v>
      </c>
      <c r="X64" s="1" t="str">
        <f t="shared" si="0"/>
        <v/>
      </c>
    </row>
    <row r="65" spans="1:24" x14ac:dyDescent="0.35">
      <c r="A65" s="1">
        <v>42</v>
      </c>
      <c r="X65" s="1" t="str">
        <f t="shared" si="0"/>
        <v/>
      </c>
    </row>
    <row r="66" spans="1:24" x14ac:dyDescent="0.35">
      <c r="A66" s="1">
        <v>43</v>
      </c>
      <c r="X66" s="1" t="e">
        <f>B66&amp;C66&amp;D66&amp;E66&amp;G66&amp;#REF!&amp;H66&amp;I66&amp;J66&amp;K66&amp;L66&amp;M66&amp;N66&amp;P66&amp;Q66&amp;R66&amp;S66&amp;T66&amp;U66&amp;V66&amp;W66</f>
        <v>#REF!</v>
      </c>
    </row>
    <row r="67" spans="1:24" x14ac:dyDescent="0.35">
      <c r="A67" s="1">
        <v>44</v>
      </c>
      <c r="X67" s="1" t="e">
        <f>B67&amp;C67&amp;D67&amp;E67&amp;G67&amp;#REF!&amp;H67&amp;I67&amp;J67&amp;K67&amp;L67&amp;M67&amp;N67&amp;P67&amp;Q67&amp;R67&amp;S67&amp;T67&amp;U67&amp;V67&amp;W67</f>
        <v>#REF!</v>
      </c>
    </row>
    <row r="68" spans="1:24" x14ac:dyDescent="0.35">
      <c r="A68" s="1">
        <v>45</v>
      </c>
      <c r="X68" s="1" t="e">
        <f>B68&amp;C68&amp;D68&amp;E68&amp;G68&amp;#REF!&amp;H68&amp;I68&amp;J68&amp;K68&amp;L68&amp;M68&amp;N68&amp;P68&amp;Q68&amp;R68&amp;S68&amp;T68&amp;U68&amp;V68&amp;W68</f>
        <v>#REF!</v>
      </c>
    </row>
    <row r="69" spans="1:24" x14ac:dyDescent="0.35">
      <c r="A69" s="1">
        <v>46</v>
      </c>
      <c r="X69" s="1" t="e">
        <f>B69&amp;C69&amp;D69&amp;E69&amp;G69&amp;#REF!&amp;H69&amp;I69&amp;J69&amp;K69&amp;L69&amp;M69&amp;N69&amp;P69&amp;Q69&amp;R69&amp;S69&amp;T69&amp;U69&amp;V69&amp;W69</f>
        <v>#REF!</v>
      </c>
    </row>
    <row r="70" spans="1:24" x14ac:dyDescent="0.35">
      <c r="A70" s="1">
        <v>47</v>
      </c>
      <c r="X70" s="1" t="e">
        <f>B70&amp;C70&amp;D70&amp;E70&amp;G70&amp;#REF!&amp;H70&amp;I70&amp;J70&amp;K70&amp;L70&amp;M70&amp;N70&amp;P70&amp;Q70&amp;R70&amp;S70&amp;T70&amp;U70&amp;V70&amp;W70</f>
        <v>#REF!</v>
      </c>
    </row>
    <row r="71" spans="1:24" x14ac:dyDescent="0.35">
      <c r="A71" s="1">
        <v>48</v>
      </c>
      <c r="X71" s="1" t="str">
        <f t="shared" si="0"/>
        <v/>
      </c>
    </row>
    <row r="72" spans="1:24" x14ac:dyDescent="0.35">
      <c r="A72" s="1">
        <v>49</v>
      </c>
      <c r="X72" s="1" t="str">
        <f t="shared" si="0"/>
        <v/>
      </c>
    </row>
    <row r="73" spans="1:24" x14ac:dyDescent="0.35">
      <c r="A73" s="1">
        <v>50</v>
      </c>
      <c r="X73" s="1" t="str">
        <f t="shared" si="0"/>
        <v/>
      </c>
    </row>
  </sheetData>
  <mergeCells count="1">
    <mergeCell ref="A1:O1"/>
  </mergeCells>
  <pageMargins left="0.7" right="0.7" top="0.75" bottom="0.75" header="0.3" footer="0.3"/>
  <pageSetup paperSize="9" orientation="portrait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30B52-9ADE-4261-B2EB-BEAE595DBA17}">
  <sheetPr>
    <tabColor theme="9"/>
  </sheetPr>
  <dimension ref="A1:AA222"/>
  <sheetViews>
    <sheetView workbookViewId="0">
      <selection activeCell="O31" sqref="O31"/>
    </sheetView>
  </sheetViews>
  <sheetFormatPr defaultRowHeight="14.5" x14ac:dyDescent="0.35"/>
  <cols>
    <col min="1" max="1" width="21.90625" style="16" customWidth="1"/>
    <col min="2" max="2" width="14.6328125" style="16" bestFit="1" customWidth="1"/>
    <col min="3" max="3" width="21.90625" style="16" bestFit="1" customWidth="1"/>
    <col min="4" max="6" width="7.36328125" style="16" bestFit="1" customWidth="1"/>
    <col min="7" max="7" width="14.1796875" style="16" bestFit="1" customWidth="1"/>
    <col min="8" max="8" width="9.54296875" style="16" bestFit="1" customWidth="1"/>
    <col min="9" max="9" width="7.90625" style="16" bestFit="1" customWidth="1"/>
    <col min="10" max="10" width="8.453125" style="16" bestFit="1" customWidth="1"/>
    <col min="11" max="11" width="12.54296875" style="16" bestFit="1" customWidth="1"/>
    <col min="12" max="12" width="10.453125" style="16" bestFit="1" customWidth="1"/>
    <col min="13" max="13" width="18.08984375" style="16" bestFit="1" customWidth="1"/>
    <col min="14" max="14" width="6.36328125" style="16" customWidth="1"/>
    <col min="15" max="15" width="4.6328125" style="16" bestFit="1" customWidth="1"/>
    <col min="16" max="16" width="11.81640625" style="16" bestFit="1" customWidth="1"/>
    <col min="17" max="17" width="17" style="16" bestFit="1" customWidth="1"/>
    <col min="18" max="18" width="15.54296875" style="16" bestFit="1" customWidth="1"/>
    <col min="19" max="19" width="12.6328125" style="16" bestFit="1" customWidth="1"/>
    <col min="20" max="20" width="10.90625" style="16" bestFit="1" customWidth="1"/>
    <col min="21" max="21" width="10.7265625" style="16" bestFit="1" customWidth="1"/>
    <col min="22" max="22" width="6.90625" style="16" bestFit="1" customWidth="1"/>
    <col min="23" max="23" width="11.7265625" style="16" bestFit="1" customWidth="1"/>
    <col min="24" max="24" width="9.81640625" style="16" bestFit="1" customWidth="1"/>
    <col min="25" max="25" width="9" style="16" bestFit="1" customWidth="1"/>
    <col min="26" max="26" width="5.81640625" style="16" bestFit="1" customWidth="1"/>
    <col min="27" max="27" width="8.26953125" style="16" bestFit="1" customWidth="1"/>
    <col min="28" max="16384" width="8.7265625" style="16"/>
  </cols>
  <sheetData>
    <row r="1" spans="1:17" ht="53" customHeight="1" x14ac:dyDescent="0.35">
      <c r="A1" s="51" t="s">
        <v>133</v>
      </c>
      <c r="B1" s="13"/>
      <c r="C1" s="13"/>
      <c r="D1" s="35" t="s">
        <v>3</v>
      </c>
      <c r="E1" s="35" t="s">
        <v>4</v>
      </c>
      <c r="F1" s="35" t="s">
        <v>10</v>
      </c>
      <c r="G1" s="35" t="s">
        <v>17</v>
      </c>
      <c r="H1" s="35" t="s">
        <v>19</v>
      </c>
      <c r="I1" s="35" t="s">
        <v>20</v>
      </c>
      <c r="J1" s="35" t="s">
        <v>21</v>
      </c>
      <c r="K1" s="35" t="s">
        <v>22</v>
      </c>
      <c r="L1" s="35" t="s">
        <v>23</v>
      </c>
      <c r="M1" s="35" t="s">
        <v>24</v>
      </c>
      <c r="N1" s="53"/>
      <c r="O1" s="53"/>
      <c r="P1" s="53"/>
      <c r="Q1" s="53"/>
    </row>
    <row r="2" spans="1:17" x14ac:dyDescent="0.35">
      <c r="A2" s="36"/>
      <c r="B2" s="36"/>
      <c r="C2" s="63" t="s">
        <v>68</v>
      </c>
      <c r="D2" s="37">
        <f>(SUM(D37:D54)/($N$54-$C$36))</f>
        <v>0.72222222222222221</v>
      </c>
      <c r="E2" s="37">
        <f t="shared" ref="E2:M2" si="0">(SUM(E37:E54)/($N$54-$C$36))</f>
        <v>0.27777777777777779</v>
      </c>
      <c r="F2" s="37">
        <f t="shared" si="0"/>
        <v>1</v>
      </c>
      <c r="G2" s="37">
        <f t="shared" si="0"/>
        <v>0</v>
      </c>
      <c r="H2" s="37">
        <f t="shared" si="0"/>
        <v>5.5555555555555552E-2</v>
      </c>
      <c r="I2" s="37">
        <f t="shared" si="0"/>
        <v>0.83333333333333337</v>
      </c>
      <c r="J2" s="37">
        <f t="shared" si="0"/>
        <v>0.1111111111111111</v>
      </c>
      <c r="K2" s="37">
        <f t="shared" si="0"/>
        <v>0</v>
      </c>
      <c r="L2" s="37">
        <f t="shared" si="0"/>
        <v>0</v>
      </c>
      <c r="M2" s="37">
        <f t="shared" si="0"/>
        <v>0</v>
      </c>
      <c r="N2" s="53"/>
      <c r="O2" s="53"/>
      <c r="P2" s="53"/>
      <c r="Q2" s="53"/>
    </row>
    <row r="3" spans="1:17" x14ac:dyDescent="0.35">
      <c r="A3" s="36"/>
      <c r="B3" s="36"/>
      <c r="C3" s="63" t="s">
        <v>67</v>
      </c>
      <c r="D3" s="38">
        <f>SUM(D37:D54)</f>
        <v>13</v>
      </c>
      <c r="E3" s="38">
        <f t="shared" ref="E3:M3" si="1">SUM(E37:E54)</f>
        <v>5</v>
      </c>
      <c r="F3" s="38">
        <f t="shared" si="1"/>
        <v>18</v>
      </c>
      <c r="G3" s="38">
        <f t="shared" si="1"/>
        <v>0</v>
      </c>
      <c r="H3" s="38">
        <f t="shared" si="1"/>
        <v>1</v>
      </c>
      <c r="I3" s="38">
        <f t="shared" si="1"/>
        <v>15</v>
      </c>
      <c r="J3" s="38">
        <f t="shared" si="1"/>
        <v>2</v>
      </c>
      <c r="K3" s="38">
        <f t="shared" si="1"/>
        <v>0</v>
      </c>
      <c r="L3" s="38">
        <f t="shared" si="1"/>
        <v>0</v>
      </c>
      <c r="M3" s="38">
        <f t="shared" si="1"/>
        <v>0</v>
      </c>
      <c r="N3" s="53"/>
      <c r="O3" s="53"/>
      <c r="P3" s="53"/>
      <c r="Q3" s="53"/>
    </row>
    <row r="4" spans="1:17" x14ac:dyDescent="0.35">
      <c r="A4" s="39" t="s">
        <v>68</v>
      </c>
      <c r="B4" s="40" t="s">
        <v>11</v>
      </c>
      <c r="C4" s="39">
        <f>C9/($N$54-$C$36)</f>
        <v>0</v>
      </c>
      <c r="D4" s="39" t="e">
        <f>D9/(D9+E9)</f>
        <v>#DIV/0!</v>
      </c>
      <c r="E4" s="39" t="e">
        <f>E9/(D9+E9)</f>
        <v>#DIV/0!</v>
      </c>
      <c r="F4" s="39" t="e">
        <f>F9/(F9+G9)</f>
        <v>#DIV/0!</v>
      </c>
      <c r="G4" s="39" t="e">
        <f>G9/(F9+G9)</f>
        <v>#DIV/0!</v>
      </c>
      <c r="H4" s="39" t="e">
        <f>H9/(H9+I9+J9)</f>
        <v>#DIV/0!</v>
      </c>
      <c r="I4" s="41" t="e">
        <f>I9/(H9+I9+J9)</f>
        <v>#DIV/0!</v>
      </c>
      <c r="J4" s="39" t="e">
        <f>J9/(H9+I9+J9)</f>
        <v>#DIV/0!</v>
      </c>
      <c r="K4" s="39" t="e">
        <f>K9/C9</f>
        <v>#DIV/0!</v>
      </c>
      <c r="L4" s="39" t="e">
        <f>L9/C9</f>
        <v>#DIV/0!</v>
      </c>
      <c r="M4" s="41"/>
      <c r="N4" s="53"/>
      <c r="O4" s="53"/>
      <c r="P4" s="53"/>
      <c r="Q4" s="53"/>
    </row>
    <row r="5" spans="1:17" x14ac:dyDescent="0.35">
      <c r="A5" s="39"/>
      <c r="B5" s="40" t="s">
        <v>72</v>
      </c>
      <c r="C5" s="39"/>
      <c r="D5" s="39"/>
      <c r="E5" s="39"/>
      <c r="F5" s="39"/>
      <c r="G5" s="39"/>
      <c r="H5" s="39"/>
      <c r="I5" s="41"/>
      <c r="J5" s="39"/>
      <c r="K5" s="39"/>
      <c r="L5" s="39"/>
      <c r="M5" s="41"/>
      <c r="N5" s="53"/>
      <c r="O5" s="53"/>
      <c r="P5" s="53"/>
      <c r="Q5" s="53"/>
    </row>
    <row r="6" spans="1:17" x14ac:dyDescent="0.35">
      <c r="A6" s="39"/>
      <c r="B6" s="40" t="s">
        <v>18</v>
      </c>
      <c r="C6" s="39">
        <f t="shared" ref="C6:C8" si="2">C11/($N$54-$C$36)</f>
        <v>0.3888888888888889</v>
      </c>
      <c r="D6" s="39">
        <f>D11/(D11+E11)</f>
        <v>0.7142857142857143</v>
      </c>
      <c r="E6" s="39">
        <f t="shared" ref="E6:E8" si="3">E11/(D11+E11)</f>
        <v>0.2857142857142857</v>
      </c>
      <c r="F6" s="39">
        <f t="shared" ref="F6:F8" si="4">F11/(F11+G11)</f>
        <v>1</v>
      </c>
      <c r="G6" s="39">
        <f t="shared" ref="G6:G8" si="5">G11/(F11+G11)</f>
        <v>0</v>
      </c>
      <c r="H6" s="39">
        <f t="shared" ref="H6:H8" si="6">H11/(H11+I11+J11)</f>
        <v>0</v>
      </c>
      <c r="I6" s="39">
        <f t="shared" ref="I6:I8" si="7">I11/(H11+I11+J11)</f>
        <v>1</v>
      </c>
      <c r="J6" s="39">
        <f t="shared" ref="J6:J8" si="8">J11/(H11+I11+J11)</f>
        <v>0</v>
      </c>
      <c r="K6" s="39">
        <f t="shared" ref="K6:K8" si="9">K11/C11</f>
        <v>0</v>
      </c>
      <c r="L6" s="39">
        <f t="shared" ref="L6:L8" si="10">L11/C11</f>
        <v>0</v>
      </c>
      <c r="M6" s="41"/>
      <c r="N6" s="53"/>
      <c r="O6" s="53"/>
      <c r="P6" s="53"/>
      <c r="Q6" s="53"/>
    </row>
    <row r="7" spans="1:17" x14ac:dyDescent="0.35">
      <c r="A7" s="40"/>
      <c r="B7" s="40" t="s">
        <v>13</v>
      </c>
      <c r="C7" s="39">
        <f t="shared" si="2"/>
        <v>0.55555555555555558</v>
      </c>
      <c r="D7" s="39">
        <f t="shared" ref="D7:D8" si="11">D12/(D12+E12)</f>
        <v>0.7</v>
      </c>
      <c r="E7" s="39">
        <f t="shared" si="3"/>
        <v>0.3</v>
      </c>
      <c r="F7" s="39">
        <f t="shared" si="4"/>
        <v>1</v>
      </c>
      <c r="G7" s="39">
        <f t="shared" si="5"/>
        <v>0</v>
      </c>
      <c r="H7" s="39">
        <f t="shared" si="6"/>
        <v>0</v>
      </c>
      <c r="I7" s="39">
        <f t="shared" si="7"/>
        <v>0.8</v>
      </c>
      <c r="J7" s="39">
        <f t="shared" si="8"/>
        <v>0.2</v>
      </c>
      <c r="K7" s="39">
        <f t="shared" si="9"/>
        <v>0</v>
      </c>
      <c r="L7" s="39">
        <f t="shared" si="10"/>
        <v>0</v>
      </c>
      <c r="M7" s="41"/>
      <c r="N7" s="53"/>
      <c r="O7" s="53"/>
      <c r="P7" s="53"/>
      <c r="Q7" s="53"/>
    </row>
    <row r="8" spans="1:17" x14ac:dyDescent="0.35">
      <c r="A8" s="40"/>
      <c r="B8" s="40" t="s">
        <v>74</v>
      </c>
      <c r="C8" s="39">
        <f t="shared" si="2"/>
        <v>0</v>
      </c>
      <c r="D8" s="39" t="e">
        <f t="shared" si="11"/>
        <v>#DIV/0!</v>
      </c>
      <c r="E8" s="39" t="e">
        <f t="shared" si="3"/>
        <v>#DIV/0!</v>
      </c>
      <c r="F8" s="39" t="e">
        <f t="shared" si="4"/>
        <v>#DIV/0!</v>
      </c>
      <c r="G8" s="39" t="e">
        <f t="shared" si="5"/>
        <v>#DIV/0!</v>
      </c>
      <c r="H8" s="39" t="e">
        <f t="shared" si="6"/>
        <v>#DIV/0!</v>
      </c>
      <c r="I8" s="39" t="e">
        <f t="shared" si="7"/>
        <v>#DIV/0!</v>
      </c>
      <c r="J8" s="39" t="e">
        <f t="shared" si="8"/>
        <v>#DIV/0!</v>
      </c>
      <c r="K8" s="39" t="e">
        <f t="shared" si="9"/>
        <v>#DIV/0!</v>
      </c>
      <c r="L8" s="39" t="e">
        <f t="shared" si="10"/>
        <v>#DIV/0!</v>
      </c>
      <c r="M8" s="41"/>
      <c r="N8" s="53"/>
      <c r="O8" s="53"/>
      <c r="P8" s="53"/>
      <c r="Q8" s="53"/>
    </row>
    <row r="9" spans="1:17" x14ac:dyDescent="0.35">
      <c r="A9" s="42" t="s">
        <v>67</v>
      </c>
      <c r="B9" s="43" t="s">
        <v>11</v>
      </c>
      <c r="C9" s="44">
        <f>D9+E9</f>
        <v>0</v>
      </c>
      <c r="D9" s="45">
        <f>D16+D20+D24+D29</f>
        <v>0</v>
      </c>
      <c r="E9" s="45">
        <f t="shared" ref="E9:M9" si="12">E16+E20+E24+E29</f>
        <v>0</v>
      </c>
      <c r="F9" s="45">
        <f t="shared" si="12"/>
        <v>0</v>
      </c>
      <c r="G9" s="45">
        <f t="shared" si="12"/>
        <v>0</v>
      </c>
      <c r="H9" s="45">
        <f t="shared" si="12"/>
        <v>0</v>
      </c>
      <c r="I9" s="45">
        <f t="shared" si="12"/>
        <v>0</v>
      </c>
      <c r="J9" s="45">
        <f t="shared" si="12"/>
        <v>0</v>
      </c>
      <c r="K9" s="45">
        <f t="shared" si="12"/>
        <v>0</v>
      </c>
      <c r="L9" s="45">
        <f t="shared" si="12"/>
        <v>0</v>
      </c>
      <c r="M9" s="45">
        <f t="shared" si="12"/>
        <v>0</v>
      </c>
      <c r="N9" s="53"/>
      <c r="O9" s="53"/>
      <c r="P9" s="53"/>
      <c r="Q9" s="53"/>
    </row>
    <row r="10" spans="1:17" x14ac:dyDescent="0.35">
      <c r="A10" s="42"/>
      <c r="B10" s="43" t="s">
        <v>72</v>
      </c>
      <c r="C10" s="44">
        <f t="shared" ref="C10:C13" si="13">D10+E10</f>
        <v>1</v>
      </c>
      <c r="D10" s="45">
        <f t="shared" ref="D10:M12" si="14">D17+D21+D25+D30</f>
        <v>1</v>
      </c>
      <c r="E10" s="45">
        <f t="shared" si="14"/>
        <v>0</v>
      </c>
      <c r="F10" s="45">
        <f t="shared" si="14"/>
        <v>1</v>
      </c>
      <c r="G10" s="45">
        <f t="shared" si="14"/>
        <v>0</v>
      </c>
      <c r="H10" s="45">
        <f t="shared" si="14"/>
        <v>1</v>
      </c>
      <c r="I10" s="45">
        <f t="shared" si="14"/>
        <v>0</v>
      </c>
      <c r="J10" s="45">
        <f t="shared" si="14"/>
        <v>0</v>
      </c>
      <c r="K10" s="45">
        <f t="shared" si="14"/>
        <v>0</v>
      </c>
      <c r="L10" s="45">
        <f t="shared" si="14"/>
        <v>0</v>
      </c>
      <c r="M10" s="45">
        <f t="shared" si="14"/>
        <v>0</v>
      </c>
      <c r="N10" s="53"/>
      <c r="O10" s="53"/>
      <c r="P10" s="53"/>
      <c r="Q10" s="53"/>
    </row>
    <row r="11" spans="1:17" x14ac:dyDescent="0.35">
      <c r="A11" s="42"/>
      <c r="B11" s="43" t="s">
        <v>18</v>
      </c>
      <c r="C11" s="44">
        <f t="shared" si="13"/>
        <v>7</v>
      </c>
      <c r="D11" s="45">
        <f t="shared" si="14"/>
        <v>5</v>
      </c>
      <c r="E11" s="45">
        <f t="shared" si="14"/>
        <v>2</v>
      </c>
      <c r="F11" s="45">
        <f t="shared" si="14"/>
        <v>7</v>
      </c>
      <c r="G11" s="45">
        <f t="shared" si="14"/>
        <v>0</v>
      </c>
      <c r="H11" s="45">
        <f t="shared" si="14"/>
        <v>0</v>
      </c>
      <c r="I11" s="45">
        <f t="shared" si="14"/>
        <v>7</v>
      </c>
      <c r="J11" s="45">
        <f t="shared" si="14"/>
        <v>0</v>
      </c>
      <c r="K11" s="45">
        <f t="shared" si="14"/>
        <v>0</v>
      </c>
      <c r="L11" s="45">
        <f t="shared" si="14"/>
        <v>0</v>
      </c>
      <c r="M11" s="45">
        <f t="shared" si="14"/>
        <v>0</v>
      </c>
      <c r="N11" s="53"/>
      <c r="O11" s="53"/>
      <c r="P11" s="53"/>
      <c r="Q11" s="53"/>
    </row>
    <row r="12" spans="1:17" x14ac:dyDescent="0.35">
      <c r="A12" s="43"/>
      <c r="B12" s="43" t="s">
        <v>13</v>
      </c>
      <c r="C12" s="44">
        <f t="shared" si="13"/>
        <v>10</v>
      </c>
      <c r="D12" s="45">
        <f t="shared" si="14"/>
        <v>7</v>
      </c>
      <c r="E12" s="45">
        <f t="shared" si="14"/>
        <v>3</v>
      </c>
      <c r="F12" s="45">
        <f t="shared" si="14"/>
        <v>10</v>
      </c>
      <c r="G12" s="45">
        <f t="shared" si="14"/>
        <v>0</v>
      </c>
      <c r="H12" s="45">
        <f t="shared" si="14"/>
        <v>0</v>
      </c>
      <c r="I12" s="45">
        <f t="shared" si="14"/>
        <v>8</v>
      </c>
      <c r="J12" s="45">
        <f t="shared" si="14"/>
        <v>2</v>
      </c>
      <c r="K12" s="45">
        <f t="shared" si="14"/>
        <v>0</v>
      </c>
      <c r="L12" s="45">
        <f t="shared" si="14"/>
        <v>0</v>
      </c>
      <c r="M12" s="45">
        <f t="shared" si="14"/>
        <v>0</v>
      </c>
      <c r="N12" s="53"/>
      <c r="O12" s="53"/>
      <c r="P12" s="53"/>
      <c r="Q12" s="53"/>
    </row>
    <row r="13" spans="1:17" x14ac:dyDescent="0.35">
      <c r="A13" s="43"/>
      <c r="B13" s="43" t="s">
        <v>74</v>
      </c>
      <c r="C13" s="44">
        <f t="shared" si="13"/>
        <v>0</v>
      </c>
      <c r="D13" s="45">
        <f>D28+D33</f>
        <v>0</v>
      </c>
      <c r="E13" s="45">
        <f t="shared" ref="E13:M13" si="15">E28+E33</f>
        <v>0</v>
      </c>
      <c r="F13" s="45">
        <f t="shared" si="15"/>
        <v>0</v>
      </c>
      <c r="G13" s="45">
        <f t="shared" si="15"/>
        <v>0</v>
      </c>
      <c r="H13" s="45">
        <f t="shared" si="15"/>
        <v>0</v>
      </c>
      <c r="I13" s="45">
        <f t="shared" si="15"/>
        <v>0</v>
      </c>
      <c r="J13" s="45">
        <f t="shared" si="15"/>
        <v>0</v>
      </c>
      <c r="K13" s="45">
        <f t="shared" si="15"/>
        <v>0</v>
      </c>
      <c r="L13" s="45">
        <f t="shared" si="15"/>
        <v>0</v>
      </c>
      <c r="M13" s="45">
        <f t="shared" si="15"/>
        <v>0</v>
      </c>
      <c r="N13" s="53"/>
      <c r="O13" s="53"/>
      <c r="P13" s="53"/>
      <c r="Q13" s="53"/>
    </row>
    <row r="14" spans="1:17" x14ac:dyDescent="0.35">
      <c r="A14" s="13" t="s">
        <v>5</v>
      </c>
      <c r="B14" s="13"/>
      <c r="C14" s="50" t="s">
        <v>132</v>
      </c>
      <c r="D14" s="35" t="s">
        <v>3</v>
      </c>
      <c r="E14" s="35" t="s">
        <v>4</v>
      </c>
      <c r="F14" s="35" t="s">
        <v>10</v>
      </c>
      <c r="G14" s="35" t="s">
        <v>17</v>
      </c>
      <c r="H14" s="35" t="s">
        <v>19</v>
      </c>
      <c r="I14" s="35" t="s">
        <v>20</v>
      </c>
      <c r="J14" s="35" t="s">
        <v>21</v>
      </c>
      <c r="K14" s="35" t="s">
        <v>22</v>
      </c>
      <c r="L14" s="35" t="s">
        <v>23</v>
      </c>
      <c r="M14" s="35" t="s">
        <v>24</v>
      </c>
      <c r="N14" s="53"/>
      <c r="O14" s="53"/>
      <c r="P14" s="53"/>
      <c r="Q14" s="53"/>
    </row>
    <row r="15" spans="1:17" x14ac:dyDescent="0.35">
      <c r="A15" s="14">
        <f>C36/$N$54</f>
        <v>0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53"/>
      <c r="O15" s="53"/>
      <c r="P15" s="53"/>
      <c r="Q15" s="53"/>
    </row>
    <row r="16" spans="1:17" x14ac:dyDescent="0.35">
      <c r="A16" s="43" t="s">
        <v>6</v>
      </c>
      <c r="B16" s="43" t="s">
        <v>11</v>
      </c>
      <c r="C16" s="43" t="s">
        <v>131</v>
      </c>
      <c r="D16" s="43">
        <f>D37</f>
        <v>0</v>
      </c>
      <c r="E16" s="43">
        <f t="shared" ref="E16:M16" si="16">E37</f>
        <v>0</v>
      </c>
      <c r="F16" s="43">
        <f t="shared" si="16"/>
        <v>0</v>
      </c>
      <c r="G16" s="43">
        <f t="shared" si="16"/>
        <v>0</v>
      </c>
      <c r="H16" s="43">
        <f t="shared" si="16"/>
        <v>0</v>
      </c>
      <c r="I16" s="43">
        <f t="shared" si="16"/>
        <v>0</v>
      </c>
      <c r="J16" s="43">
        <f t="shared" si="16"/>
        <v>0</v>
      </c>
      <c r="K16" s="43">
        <f t="shared" si="16"/>
        <v>0</v>
      </c>
      <c r="L16" s="43">
        <f t="shared" si="16"/>
        <v>0</v>
      </c>
      <c r="M16" s="43">
        <f t="shared" si="16"/>
        <v>0</v>
      </c>
      <c r="N16" s="53"/>
      <c r="O16" s="53"/>
      <c r="P16" s="53"/>
      <c r="Q16" s="53"/>
    </row>
    <row r="17" spans="1:17" x14ac:dyDescent="0.35">
      <c r="A17" s="42">
        <f>(D37+E37+D38+E38+D39+E39+D40+E40)/N54</f>
        <v>0.1111111111111111</v>
      </c>
      <c r="B17" s="43" t="s">
        <v>72</v>
      </c>
      <c r="C17" s="43" t="s">
        <v>131</v>
      </c>
      <c r="D17" s="43">
        <f t="shared" ref="D17:M17" si="17">D38</f>
        <v>0</v>
      </c>
      <c r="E17" s="43">
        <f t="shared" si="17"/>
        <v>0</v>
      </c>
      <c r="F17" s="43">
        <f t="shared" si="17"/>
        <v>0</v>
      </c>
      <c r="G17" s="43">
        <f t="shared" si="17"/>
        <v>0</v>
      </c>
      <c r="H17" s="43">
        <f t="shared" si="17"/>
        <v>0</v>
      </c>
      <c r="I17" s="43">
        <f t="shared" si="17"/>
        <v>0</v>
      </c>
      <c r="J17" s="43">
        <f t="shared" si="17"/>
        <v>0</v>
      </c>
      <c r="K17" s="43">
        <f t="shared" si="17"/>
        <v>0</v>
      </c>
      <c r="L17" s="43">
        <f t="shared" si="17"/>
        <v>0</v>
      </c>
      <c r="M17" s="43">
        <f t="shared" si="17"/>
        <v>0</v>
      </c>
      <c r="N17" s="53"/>
      <c r="O17" s="53"/>
      <c r="P17" s="53"/>
      <c r="Q17" s="53"/>
    </row>
    <row r="18" spans="1:17" x14ac:dyDescent="0.35">
      <c r="A18" s="43"/>
      <c r="B18" s="43" t="s">
        <v>18</v>
      </c>
      <c r="C18" s="43" t="s">
        <v>131</v>
      </c>
      <c r="D18" s="43">
        <f t="shared" ref="D18:M18" si="18">D39</f>
        <v>1</v>
      </c>
      <c r="E18" s="43">
        <f t="shared" si="18"/>
        <v>0</v>
      </c>
      <c r="F18" s="43">
        <f t="shared" si="18"/>
        <v>1</v>
      </c>
      <c r="G18" s="43">
        <f t="shared" si="18"/>
        <v>0</v>
      </c>
      <c r="H18" s="43">
        <f t="shared" si="18"/>
        <v>0</v>
      </c>
      <c r="I18" s="43">
        <f t="shared" si="18"/>
        <v>1</v>
      </c>
      <c r="J18" s="43">
        <f t="shared" si="18"/>
        <v>0</v>
      </c>
      <c r="K18" s="43">
        <f t="shared" si="18"/>
        <v>0</v>
      </c>
      <c r="L18" s="43">
        <f t="shared" si="18"/>
        <v>0</v>
      </c>
      <c r="M18" s="43">
        <f t="shared" si="18"/>
        <v>0</v>
      </c>
      <c r="N18" s="53"/>
      <c r="O18" s="53"/>
      <c r="P18" s="53"/>
      <c r="Q18" s="53"/>
    </row>
    <row r="19" spans="1:17" x14ac:dyDescent="0.35">
      <c r="A19" s="43"/>
      <c r="B19" s="43" t="s">
        <v>13</v>
      </c>
      <c r="C19" s="43" t="s">
        <v>131</v>
      </c>
      <c r="D19" s="43">
        <f t="shared" ref="D19:M19" si="19">D40</f>
        <v>1</v>
      </c>
      <c r="E19" s="43">
        <f t="shared" si="19"/>
        <v>0</v>
      </c>
      <c r="F19" s="43">
        <f t="shared" si="19"/>
        <v>1</v>
      </c>
      <c r="G19" s="43">
        <f t="shared" si="19"/>
        <v>0</v>
      </c>
      <c r="H19" s="43">
        <f t="shared" si="19"/>
        <v>0</v>
      </c>
      <c r="I19" s="43">
        <f t="shared" si="19"/>
        <v>1</v>
      </c>
      <c r="J19" s="43">
        <f t="shared" si="19"/>
        <v>0</v>
      </c>
      <c r="K19" s="43">
        <f t="shared" si="19"/>
        <v>0</v>
      </c>
      <c r="L19" s="43">
        <f t="shared" si="19"/>
        <v>0</v>
      </c>
      <c r="M19" s="43">
        <f t="shared" si="19"/>
        <v>0</v>
      </c>
      <c r="N19" s="53"/>
      <c r="O19" s="53"/>
      <c r="P19" s="53"/>
      <c r="Q19" s="53"/>
    </row>
    <row r="20" spans="1:17" x14ac:dyDescent="0.35">
      <c r="A20" s="46" t="s">
        <v>7</v>
      </c>
      <c r="B20" s="46" t="s">
        <v>11</v>
      </c>
      <c r="C20" s="46" t="s">
        <v>131</v>
      </c>
      <c r="D20" s="46">
        <f t="shared" ref="D20:M20" si="20">D41</f>
        <v>0</v>
      </c>
      <c r="E20" s="46">
        <f t="shared" si="20"/>
        <v>0</v>
      </c>
      <c r="F20" s="46">
        <f t="shared" si="20"/>
        <v>0</v>
      </c>
      <c r="G20" s="46">
        <f t="shared" si="20"/>
        <v>0</v>
      </c>
      <c r="H20" s="46">
        <f t="shared" si="20"/>
        <v>0</v>
      </c>
      <c r="I20" s="46">
        <f t="shared" si="20"/>
        <v>0</v>
      </c>
      <c r="J20" s="46">
        <f t="shared" si="20"/>
        <v>0</v>
      </c>
      <c r="K20" s="46">
        <f t="shared" si="20"/>
        <v>0</v>
      </c>
      <c r="L20" s="46">
        <f t="shared" si="20"/>
        <v>0</v>
      </c>
      <c r="M20" s="46">
        <f t="shared" si="20"/>
        <v>0</v>
      </c>
      <c r="N20" s="53"/>
      <c r="O20" s="53"/>
      <c r="P20" s="53"/>
      <c r="Q20" s="53"/>
    </row>
    <row r="21" spans="1:17" x14ac:dyDescent="0.35">
      <c r="A21" s="47">
        <f>(D41+E41+D42+E42+D43+E43+D44+E44)/N54</f>
        <v>5.5555555555555552E-2</v>
      </c>
      <c r="B21" s="46" t="s">
        <v>72</v>
      </c>
      <c r="C21" s="46" t="s">
        <v>131</v>
      </c>
      <c r="D21" s="46">
        <f t="shared" ref="D21:M21" si="21">D42</f>
        <v>0</v>
      </c>
      <c r="E21" s="46">
        <f t="shared" si="21"/>
        <v>0</v>
      </c>
      <c r="F21" s="46">
        <f t="shared" si="21"/>
        <v>0</v>
      </c>
      <c r="G21" s="46">
        <f t="shared" si="21"/>
        <v>0</v>
      </c>
      <c r="H21" s="46">
        <f t="shared" si="21"/>
        <v>0</v>
      </c>
      <c r="I21" s="46">
        <f t="shared" si="21"/>
        <v>0</v>
      </c>
      <c r="J21" s="46">
        <f t="shared" si="21"/>
        <v>0</v>
      </c>
      <c r="K21" s="46">
        <f t="shared" si="21"/>
        <v>0</v>
      </c>
      <c r="L21" s="46">
        <f t="shared" si="21"/>
        <v>0</v>
      </c>
      <c r="M21" s="46">
        <f t="shared" si="21"/>
        <v>0</v>
      </c>
      <c r="N21" s="53"/>
      <c r="O21" s="53"/>
      <c r="P21" s="53"/>
      <c r="Q21" s="53"/>
    </row>
    <row r="22" spans="1:17" x14ac:dyDescent="0.35">
      <c r="A22" s="46"/>
      <c r="B22" s="46" t="s">
        <v>18</v>
      </c>
      <c r="C22" s="46" t="s">
        <v>131</v>
      </c>
      <c r="D22" s="46">
        <f t="shared" ref="D22:M22" si="22">D43</f>
        <v>0</v>
      </c>
      <c r="E22" s="46">
        <f t="shared" si="22"/>
        <v>0</v>
      </c>
      <c r="F22" s="46">
        <f t="shared" si="22"/>
        <v>0</v>
      </c>
      <c r="G22" s="46">
        <f t="shared" si="22"/>
        <v>0</v>
      </c>
      <c r="H22" s="46">
        <f t="shared" si="22"/>
        <v>0</v>
      </c>
      <c r="I22" s="46">
        <f t="shared" si="22"/>
        <v>0</v>
      </c>
      <c r="J22" s="46">
        <f t="shared" si="22"/>
        <v>0</v>
      </c>
      <c r="K22" s="46">
        <f t="shared" si="22"/>
        <v>0</v>
      </c>
      <c r="L22" s="46">
        <f t="shared" si="22"/>
        <v>0</v>
      </c>
      <c r="M22" s="46">
        <f t="shared" si="22"/>
        <v>0</v>
      </c>
      <c r="N22" s="53"/>
      <c r="O22" s="53"/>
      <c r="P22" s="53"/>
      <c r="Q22" s="53"/>
    </row>
    <row r="23" spans="1:17" x14ac:dyDescent="0.35">
      <c r="A23" s="46"/>
      <c r="B23" s="46" t="s">
        <v>13</v>
      </c>
      <c r="C23" s="46" t="s">
        <v>131</v>
      </c>
      <c r="D23" s="46">
        <f t="shared" ref="D23:M23" si="23">D44</f>
        <v>0</v>
      </c>
      <c r="E23" s="46">
        <f t="shared" si="23"/>
        <v>1</v>
      </c>
      <c r="F23" s="46">
        <f t="shared" si="23"/>
        <v>1</v>
      </c>
      <c r="G23" s="46">
        <f t="shared" si="23"/>
        <v>0</v>
      </c>
      <c r="H23" s="46">
        <f t="shared" si="23"/>
        <v>0</v>
      </c>
      <c r="I23" s="46">
        <f t="shared" si="23"/>
        <v>0</v>
      </c>
      <c r="J23" s="46">
        <f t="shared" si="23"/>
        <v>1</v>
      </c>
      <c r="K23" s="46">
        <f t="shared" si="23"/>
        <v>0</v>
      </c>
      <c r="L23" s="46">
        <f t="shared" si="23"/>
        <v>0</v>
      </c>
      <c r="M23" s="46">
        <f t="shared" si="23"/>
        <v>0</v>
      </c>
      <c r="N23" s="53"/>
      <c r="O23" s="53"/>
      <c r="P23" s="53"/>
      <c r="Q23" s="53"/>
    </row>
    <row r="24" spans="1:17" x14ac:dyDescent="0.35">
      <c r="A24" s="36" t="s">
        <v>8</v>
      </c>
      <c r="B24" s="36" t="s">
        <v>11</v>
      </c>
      <c r="C24" s="36" t="s">
        <v>131</v>
      </c>
      <c r="D24" s="36">
        <f t="shared" ref="D24:M24" si="24">D45</f>
        <v>0</v>
      </c>
      <c r="E24" s="36">
        <f t="shared" si="24"/>
        <v>0</v>
      </c>
      <c r="F24" s="36">
        <f t="shared" si="24"/>
        <v>0</v>
      </c>
      <c r="G24" s="36">
        <f t="shared" si="24"/>
        <v>0</v>
      </c>
      <c r="H24" s="36">
        <f t="shared" si="24"/>
        <v>0</v>
      </c>
      <c r="I24" s="36">
        <f t="shared" si="24"/>
        <v>0</v>
      </c>
      <c r="J24" s="36">
        <f t="shared" si="24"/>
        <v>0</v>
      </c>
      <c r="K24" s="36">
        <f t="shared" si="24"/>
        <v>0</v>
      </c>
      <c r="L24" s="36">
        <f t="shared" si="24"/>
        <v>0</v>
      </c>
      <c r="M24" s="36">
        <f t="shared" si="24"/>
        <v>0</v>
      </c>
      <c r="N24" s="53"/>
      <c r="O24" s="53"/>
      <c r="P24" s="53"/>
      <c r="Q24" s="53"/>
    </row>
    <row r="25" spans="1:17" x14ac:dyDescent="0.35">
      <c r="A25" s="37">
        <f>(D45+E45+D46+E46+D47+E47+D48+E48+D49+E49)/$N$54</f>
        <v>0.55555555555555558</v>
      </c>
      <c r="B25" s="36" t="s">
        <v>72</v>
      </c>
      <c r="C25" s="36" t="s">
        <v>131</v>
      </c>
      <c r="D25" s="36">
        <f t="shared" ref="D25:M25" si="25">D46</f>
        <v>0</v>
      </c>
      <c r="E25" s="36">
        <f t="shared" si="25"/>
        <v>0</v>
      </c>
      <c r="F25" s="36">
        <f t="shared" si="25"/>
        <v>0</v>
      </c>
      <c r="G25" s="36">
        <f t="shared" si="25"/>
        <v>0</v>
      </c>
      <c r="H25" s="36">
        <f t="shared" si="25"/>
        <v>0</v>
      </c>
      <c r="I25" s="36">
        <f t="shared" si="25"/>
        <v>0</v>
      </c>
      <c r="J25" s="36">
        <f t="shared" si="25"/>
        <v>0</v>
      </c>
      <c r="K25" s="36">
        <f t="shared" si="25"/>
        <v>0</v>
      </c>
      <c r="L25" s="36">
        <f t="shared" si="25"/>
        <v>0</v>
      </c>
      <c r="M25" s="36">
        <f t="shared" si="25"/>
        <v>0</v>
      </c>
      <c r="N25" s="53"/>
      <c r="O25" s="53"/>
      <c r="P25" s="53"/>
      <c r="Q25" s="53"/>
    </row>
    <row r="26" spans="1:17" x14ac:dyDescent="0.35">
      <c r="A26" s="36"/>
      <c r="B26" s="36" t="s">
        <v>18</v>
      </c>
      <c r="C26" s="36" t="s">
        <v>131</v>
      </c>
      <c r="D26" s="36">
        <f t="shared" ref="D26:M26" si="26">D47</f>
        <v>1</v>
      </c>
      <c r="E26" s="36">
        <f t="shared" si="26"/>
        <v>2</v>
      </c>
      <c r="F26" s="36">
        <f t="shared" si="26"/>
        <v>3</v>
      </c>
      <c r="G26" s="36">
        <f t="shared" si="26"/>
        <v>0</v>
      </c>
      <c r="H26" s="36">
        <f t="shared" si="26"/>
        <v>0</v>
      </c>
      <c r="I26" s="36">
        <f t="shared" si="26"/>
        <v>3</v>
      </c>
      <c r="J26" s="36">
        <f t="shared" si="26"/>
        <v>0</v>
      </c>
      <c r="K26" s="36">
        <f t="shared" si="26"/>
        <v>0</v>
      </c>
      <c r="L26" s="36">
        <f t="shared" si="26"/>
        <v>0</v>
      </c>
      <c r="M26" s="36">
        <f t="shared" si="26"/>
        <v>0</v>
      </c>
      <c r="N26" s="53"/>
      <c r="O26" s="53"/>
      <c r="P26" s="53"/>
      <c r="Q26" s="53"/>
    </row>
    <row r="27" spans="1:17" x14ac:dyDescent="0.35">
      <c r="A27" s="36"/>
      <c r="B27" s="36" t="s">
        <v>13</v>
      </c>
      <c r="C27" s="36" t="s">
        <v>131</v>
      </c>
      <c r="D27" s="36">
        <f t="shared" ref="D27:M27" si="27">D48</f>
        <v>6</v>
      </c>
      <c r="E27" s="36">
        <f t="shared" si="27"/>
        <v>1</v>
      </c>
      <c r="F27" s="36">
        <f t="shared" si="27"/>
        <v>7</v>
      </c>
      <c r="G27" s="36">
        <f t="shared" si="27"/>
        <v>0</v>
      </c>
      <c r="H27" s="36">
        <f t="shared" si="27"/>
        <v>0</v>
      </c>
      <c r="I27" s="36">
        <f t="shared" si="27"/>
        <v>6</v>
      </c>
      <c r="J27" s="36">
        <f t="shared" si="27"/>
        <v>1</v>
      </c>
      <c r="K27" s="36">
        <f t="shared" si="27"/>
        <v>0</v>
      </c>
      <c r="L27" s="36">
        <f t="shared" si="27"/>
        <v>0</v>
      </c>
      <c r="M27" s="36">
        <f t="shared" si="27"/>
        <v>0</v>
      </c>
      <c r="N27" s="53"/>
      <c r="O27" s="53"/>
      <c r="P27" s="53"/>
      <c r="Q27" s="53"/>
    </row>
    <row r="28" spans="1:17" x14ac:dyDescent="0.35">
      <c r="A28" s="36"/>
      <c r="B28" s="36" t="s">
        <v>74</v>
      </c>
      <c r="C28" s="36" t="s">
        <v>131</v>
      </c>
      <c r="D28" s="36">
        <f t="shared" ref="D28:M28" si="28">D49</f>
        <v>0</v>
      </c>
      <c r="E28" s="36">
        <f t="shared" si="28"/>
        <v>0</v>
      </c>
      <c r="F28" s="36">
        <f t="shared" si="28"/>
        <v>0</v>
      </c>
      <c r="G28" s="36">
        <f t="shared" si="28"/>
        <v>0</v>
      </c>
      <c r="H28" s="36">
        <f t="shared" si="28"/>
        <v>0</v>
      </c>
      <c r="I28" s="36">
        <f t="shared" si="28"/>
        <v>0</v>
      </c>
      <c r="J28" s="36">
        <f t="shared" si="28"/>
        <v>0</v>
      </c>
      <c r="K28" s="36">
        <f t="shared" si="28"/>
        <v>0</v>
      </c>
      <c r="L28" s="36">
        <f t="shared" si="28"/>
        <v>0</v>
      </c>
      <c r="M28" s="36">
        <f t="shared" si="28"/>
        <v>0</v>
      </c>
      <c r="N28" s="53"/>
      <c r="O28" s="53"/>
      <c r="P28" s="53"/>
      <c r="Q28" s="53"/>
    </row>
    <row r="29" spans="1:17" x14ac:dyDescent="0.35">
      <c r="A29" s="48" t="s">
        <v>9</v>
      </c>
      <c r="B29" s="48" t="s">
        <v>11</v>
      </c>
      <c r="C29" s="48" t="s">
        <v>131</v>
      </c>
      <c r="D29" s="48">
        <f t="shared" ref="D29:M29" si="29">D50</f>
        <v>0</v>
      </c>
      <c r="E29" s="48">
        <f t="shared" si="29"/>
        <v>0</v>
      </c>
      <c r="F29" s="48">
        <f t="shared" si="29"/>
        <v>0</v>
      </c>
      <c r="G29" s="48">
        <f t="shared" si="29"/>
        <v>0</v>
      </c>
      <c r="H29" s="48">
        <f t="shared" si="29"/>
        <v>0</v>
      </c>
      <c r="I29" s="48">
        <f t="shared" si="29"/>
        <v>0</v>
      </c>
      <c r="J29" s="48">
        <f t="shared" si="29"/>
        <v>0</v>
      </c>
      <c r="K29" s="48">
        <f t="shared" si="29"/>
        <v>0</v>
      </c>
      <c r="L29" s="48">
        <f t="shared" si="29"/>
        <v>0</v>
      </c>
      <c r="M29" s="48">
        <f t="shared" si="29"/>
        <v>0</v>
      </c>
      <c r="N29" s="53"/>
      <c r="O29" s="53"/>
      <c r="P29" s="53"/>
      <c r="Q29" s="53"/>
    </row>
    <row r="30" spans="1:17" x14ac:dyDescent="0.35">
      <c r="A30" s="49">
        <f>(D50+E50+D51+E51+D52+E52+D52+E52+D53+E53+D54+E54)/$N$54</f>
        <v>0.44444444444444442</v>
      </c>
      <c r="B30" s="48" t="s">
        <v>72</v>
      </c>
      <c r="C30" s="48" t="s">
        <v>131</v>
      </c>
      <c r="D30" s="48">
        <f t="shared" ref="D30:M30" si="30">D51</f>
        <v>1</v>
      </c>
      <c r="E30" s="48">
        <f t="shared" si="30"/>
        <v>0</v>
      </c>
      <c r="F30" s="48">
        <f t="shared" si="30"/>
        <v>1</v>
      </c>
      <c r="G30" s="48">
        <f t="shared" si="30"/>
        <v>0</v>
      </c>
      <c r="H30" s="48">
        <f t="shared" si="30"/>
        <v>1</v>
      </c>
      <c r="I30" s="48">
        <f t="shared" si="30"/>
        <v>0</v>
      </c>
      <c r="J30" s="48">
        <f t="shared" si="30"/>
        <v>0</v>
      </c>
      <c r="K30" s="48">
        <f t="shared" si="30"/>
        <v>0</v>
      </c>
      <c r="L30" s="48">
        <f t="shared" si="30"/>
        <v>0</v>
      </c>
      <c r="M30" s="48">
        <f t="shared" si="30"/>
        <v>0</v>
      </c>
      <c r="N30" s="53"/>
      <c r="O30" s="53"/>
      <c r="P30" s="53"/>
      <c r="Q30" s="53"/>
    </row>
    <row r="31" spans="1:17" x14ac:dyDescent="0.35">
      <c r="A31" s="48"/>
      <c r="B31" s="48" t="s">
        <v>18</v>
      </c>
      <c r="C31" s="48" t="s">
        <v>131</v>
      </c>
      <c r="D31" s="48">
        <f t="shared" ref="D31:M31" si="31">D52</f>
        <v>3</v>
      </c>
      <c r="E31" s="48">
        <f t="shared" si="31"/>
        <v>0</v>
      </c>
      <c r="F31" s="48">
        <f t="shared" si="31"/>
        <v>3</v>
      </c>
      <c r="G31" s="48">
        <f t="shared" si="31"/>
        <v>0</v>
      </c>
      <c r="H31" s="48">
        <f t="shared" si="31"/>
        <v>0</v>
      </c>
      <c r="I31" s="48">
        <f t="shared" si="31"/>
        <v>3</v>
      </c>
      <c r="J31" s="48">
        <f t="shared" si="31"/>
        <v>0</v>
      </c>
      <c r="K31" s="48">
        <f t="shared" si="31"/>
        <v>0</v>
      </c>
      <c r="L31" s="48">
        <f t="shared" si="31"/>
        <v>0</v>
      </c>
      <c r="M31" s="48">
        <f t="shared" si="31"/>
        <v>0</v>
      </c>
      <c r="N31" s="53"/>
      <c r="O31" s="53"/>
      <c r="P31" s="53"/>
      <c r="Q31" s="53"/>
    </row>
    <row r="32" spans="1:17" x14ac:dyDescent="0.35">
      <c r="A32" s="48"/>
      <c r="B32" s="48" t="s">
        <v>13</v>
      </c>
      <c r="C32" s="48" t="s">
        <v>131</v>
      </c>
      <c r="D32" s="48">
        <f t="shared" ref="D32:M32" si="32">D53</f>
        <v>0</v>
      </c>
      <c r="E32" s="48">
        <f t="shared" si="32"/>
        <v>1</v>
      </c>
      <c r="F32" s="48">
        <f t="shared" si="32"/>
        <v>1</v>
      </c>
      <c r="G32" s="48">
        <f t="shared" si="32"/>
        <v>0</v>
      </c>
      <c r="H32" s="48">
        <f t="shared" si="32"/>
        <v>0</v>
      </c>
      <c r="I32" s="48">
        <f t="shared" si="32"/>
        <v>1</v>
      </c>
      <c r="J32" s="48">
        <f t="shared" si="32"/>
        <v>0</v>
      </c>
      <c r="K32" s="48">
        <f t="shared" si="32"/>
        <v>0</v>
      </c>
      <c r="L32" s="48">
        <f t="shared" si="32"/>
        <v>0</v>
      </c>
      <c r="M32" s="48">
        <f t="shared" si="32"/>
        <v>0</v>
      </c>
      <c r="N32" s="53"/>
      <c r="O32" s="53"/>
      <c r="P32" s="53"/>
      <c r="Q32" s="53"/>
    </row>
    <row r="33" spans="1:27" ht="15" thickBot="1" x14ac:dyDescent="0.4">
      <c r="A33" s="48"/>
      <c r="B33" s="48" t="s">
        <v>74</v>
      </c>
      <c r="C33" s="48" t="s">
        <v>131</v>
      </c>
      <c r="D33" s="48">
        <f t="shared" ref="D33:M33" si="33">D54</f>
        <v>0</v>
      </c>
      <c r="E33" s="48">
        <f t="shared" si="33"/>
        <v>0</v>
      </c>
      <c r="F33" s="48">
        <f t="shared" si="33"/>
        <v>0</v>
      </c>
      <c r="G33" s="48">
        <f t="shared" si="33"/>
        <v>0</v>
      </c>
      <c r="H33" s="48">
        <f t="shared" si="33"/>
        <v>0</v>
      </c>
      <c r="I33" s="48">
        <f t="shared" si="33"/>
        <v>0</v>
      </c>
      <c r="J33" s="48">
        <f t="shared" si="33"/>
        <v>0</v>
      </c>
      <c r="K33" s="48">
        <f t="shared" si="33"/>
        <v>0</v>
      </c>
      <c r="L33" s="48">
        <f t="shared" si="33"/>
        <v>0</v>
      </c>
      <c r="M33" s="48">
        <f t="shared" si="33"/>
        <v>0</v>
      </c>
      <c r="N33" s="53"/>
      <c r="O33" s="53"/>
      <c r="P33" s="53"/>
      <c r="Q33" s="53"/>
    </row>
    <row r="34" spans="1:27" ht="15" thickBot="1" x14ac:dyDescent="0.4">
      <c r="S34" s="91" t="s">
        <v>152</v>
      </c>
      <c r="T34" s="92"/>
      <c r="U34" s="92"/>
      <c r="V34" s="92"/>
      <c r="W34" s="92"/>
      <c r="X34" s="92"/>
      <c r="Y34" s="92"/>
      <c r="Z34" s="92"/>
      <c r="AA34" s="93"/>
    </row>
    <row r="35" spans="1:27" ht="62.5" customHeight="1" x14ac:dyDescent="0.35">
      <c r="A35" s="58" t="s">
        <v>135</v>
      </c>
      <c r="B35" s="1"/>
      <c r="C35" s="1"/>
      <c r="D35" s="1" t="s">
        <v>3</v>
      </c>
      <c r="E35" s="1" t="s">
        <v>4</v>
      </c>
      <c r="F35" s="1" t="s">
        <v>10</v>
      </c>
      <c r="G35" s="1" t="s">
        <v>17</v>
      </c>
      <c r="H35" s="1" t="s">
        <v>19</v>
      </c>
      <c r="I35" s="1" t="s">
        <v>20</v>
      </c>
      <c r="J35" s="1" t="s">
        <v>21</v>
      </c>
      <c r="K35" s="1" t="s">
        <v>22</v>
      </c>
      <c r="L35" s="1" t="s">
        <v>23</v>
      </c>
      <c r="M35" s="1" t="s">
        <v>24</v>
      </c>
      <c r="N35" s="56" t="s">
        <v>134</v>
      </c>
      <c r="O35" s="1"/>
      <c r="P35" s="55" t="s">
        <v>129</v>
      </c>
      <c r="Q35" s="55" t="s">
        <v>130</v>
      </c>
      <c r="S35" s="34" t="s">
        <v>49</v>
      </c>
      <c r="T35" s="34" t="s">
        <v>51</v>
      </c>
      <c r="U35" s="34" t="s">
        <v>52</v>
      </c>
      <c r="V35" s="34" t="s">
        <v>53</v>
      </c>
      <c r="W35" s="34" t="s">
        <v>54</v>
      </c>
      <c r="X35" s="34" t="s">
        <v>55</v>
      </c>
      <c r="Y35" s="34" t="s">
        <v>56</v>
      </c>
      <c r="Z35" s="34" t="s">
        <v>57</v>
      </c>
      <c r="AA35" s="34" t="s">
        <v>58</v>
      </c>
    </row>
    <row r="36" spans="1:27" x14ac:dyDescent="0.35">
      <c r="A36" s="1" t="s">
        <v>5</v>
      </c>
      <c r="B36" s="1"/>
      <c r="C36" s="9">
        <f>(D78+E78+D99+D120+E120+D141+E141+D162+E162+D183+E183+D204+E204)</f>
        <v>0</v>
      </c>
      <c r="D36" s="9"/>
      <c r="E36" s="1"/>
      <c r="F36" s="1"/>
      <c r="G36" s="1"/>
      <c r="H36" s="1"/>
      <c r="I36" s="1"/>
      <c r="J36" s="1"/>
      <c r="K36" s="1"/>
      <c r="L36" s="1"/>
      <c r="M36" s="1"/>
      <c r="N36" s="57">
        <f>(N57+N78+N99+N120+N141+N162+N183+N204)</f>
        <v>11</v>
      </c>
      <c r="O36" s="1" t="s">
        <v>43</v>
      </c>
      <c r="P36" s="1">
        <f>(P57+P78+P99+P120+P141+P162+P183+P204)</f>
        <v>0</v>
      </c>
      <c r="Q36" s="1">
        <f>(Q57+Q78+Q99+Q120+Q141+Q162+Q183+Q204)</f>
        <v>0</v>
      </c>
      <c r="R36" s="17"/>
    </row>
    <row r="37" spans="1:27" x14ac:dyDescent="0.35">
      <c r="A37" s="1" t="s">
        <v>6</v>
      </c>
      <c r="B37" s="1" t="s">
        <v>11</v>
      </c>
      <c r="C37" s="1"/>
      <c r="D37" s="1">
        <f>(D58+D79+D100+D121+D142+D163+D184+D205)</f>
        <v>0</v>
      </c>
      <c r="E37" s="1">
        <f t="shared" ref="E37:M37" si="34">(E58+E79+E100+E121+E142+E163+E184+E205)</f>
        <v>0</v>
      </c>
      <c r="F37" s="1">
        <f t="shared" si="34"/>
        <v>0</v>
      </c>
      <c r="G37" s="1">
        <f t="shared" si="34"/>
        <v>0</v>
      </c>
      <c r="H37" s="1">
        <f t="shared" si="34"/>
        <v>0</v>
      </c>
      <c r="I37" s="1">
        <f t="shared" si="34"/>
        <v>0</v>
      </c>
      <c r="J37" s="1">
        <f t="shared" si="34"/>
        <v>0</v>
      </c>
      <c r="K37" s="1">
        <f t="shared" si="34"/>
        <v>0</v>
      </c>
      <c r="L37" s="1">
        <f t="shared" si="34"/>
        <v>0</v>
      </c>
      <c r="M37" s="1">
        <f t="shared" si="34"/>
        <v>0</v>
      </c>
      <c r="N37" s="57">
        <f>MIN(N58,N79,N100,N121,N142,N163,N184,N205)</f>
        <v>2</v>
      </c>
      <c r="O37" s="1" t="s">
        <v>44</v>
      </c>
      <c r="R37" s="17"/>
    </row>
    <row r="38" spans="1:27" x14ac:dyDescent="0.35">
      <c r="A38" s="1"/>
      <c r="B38" s="1" t="s">
        <v>72</v>
      </c>
      <c r="C38" s="1"/>
      <c r="D38" s="1">
        <f t="shared" ref="D38:M53" si="35">(D59+D80+D101+D122+D143+D164+D185+D206)</f>
        <v>0</v>
      </c>
      <c r="E38" s="1">
        <f t="shared" si="35"/>
        <v>0</v>
      </c>
      <c r="F38" s="1">
        <f t="shared" si="35"/>
        <v>0</v>
      </c>
      <c r="G38" s="1">
        <f t="shared" si="35"/>
        <v>0</v>
      </c>
      <c r="H38" s="1">
        <f t="shared" si="35"/>
        <v>0</v>
      </c>
      <c r="I38" s="1">
        <f t="shared" si="35"/>
        <v>0</v>
      </c>
      <c r="J38" s="1">
        <f t="shared" si="35"/>
        <v>0</v>
      </c>
      <c r="K38" s="1">
        <f t="shared" si="35"/>
        <v>0</v>
      </c>
      <c r="L38" s="1">
        <f t="shared" si="35"/>
        <v>0</v>
      </c>
      <c r="M38" s="1">
        <f t="shared" si="35"/>
        <v>0</v>
      </c>
      <c r="N38" s="57">
        <f>MAX(N59,N80,N101,N122,N143,N164,N185,N206)</f>
        <v>4</v>
      </c>
      <c r="O38" s="1" t="s">
        <v>45</v>
      </c>
      <c r="R38" s="17"/>
    </row>
    <row r="39" spans="1:27" x14ac:dyDescent="0.35">
      <c r="A39" s="1"/>
      <c r="B39" s="1" t="s">
        <v>18</v>
      </c>
      <c r="C39" s="1"/>
      <c r="D39" s="1">
        <f t="shared" si="35"/>
        <v>1</v>
      </c>
      <c r="E39" s="1">
        <f t="shared" si="35"/>
        <v>0</v>
      </c>
      <c r="F39" s="1">
        <f t="shared" si="35"/>
        <v>1</v>
      </c>
      <c r="G39" s="1">
        <f t="shared" si="35"/>
        <v>0</v>
      </c>
      <c r="H39" s="1">
        <f t="shared" si="35"/>
        <v>0</v>
      </c>
      <c r="I39" s="1">
        <f t="shared" si="35"/>
        <v>1</v>
      </c>
      <c r="J39" s="1">
        <f t="shared" si="35"/>
        <v>0</v>
      </c>
      <c r="K39" s="1">
        <f t="shared" si="35"/>
        <v>0</v>
      </c>
      <c r="L39" s="1">
        <f t="shared" si="35"/>
        <v>0</v>
      </c>
      <c r="M39" s="1">
        <f t="shared" si="35"/>
        <v>0</v>
      </c>
      <c r="N39" s="57">
        <f>AVERAGE(N60,N81,N102,N123,N144,N165,N186,N207)</f>
        <v>2.75</v>
      </c>
      <c r="O39" s="1" t="s">
        <v>46</v>
      </c>
      <c r="R39" s="17"/>
    </row>
    <row r="40" spans="1:27" x14ac:dyDescent="0.35">
      <c r="A40" s="1"/>
      <c r="B40" s="1" t="s">
        <v>13</v>
      </c>
      <c r="C40" s="1"/>
      <c r="D40" s="1">
        <f t="shared" si="35"/>
        <v>1</v>
      </c>
      <c r="E40" s="1">
        <f t="shared" si="35"/>
        <v>0</v>
      </c>
      <c r="F40" s="1">
        <f t="shared" si="35"/>
        <v>1</v>
      </c>
      <c r="G40" s="1">
        <f t="shared" si="35"/>
        <v>0</v>
      </c>
      <c r="H40" s="1">
        <f t="shared" si="35"/>
        <v>0</v>
      </c>
      <c r="I40" s="1">
        <f t="shared" si="35"/>
        <v>1</v>
      </c>
      <c r="J40" s="1">
        <f t="shared" si="35"/>
        <v>0</v>
      </c>
      <c r="K40" s="1">
        <f t="shared" si="35"/>
        <v>0</v>
      </c>
      <c r="L40" s="1">
        <f t="shared" si="35"/>
        <v>0</v>
      </c>
      <c r="M40" s="1">
        <f t="shared" si="35"/>
        <v>0</v>
      </c>
      <c r="R40" s="17"/>
    </row>
    <row r="41" spans="1:27" x14ac:dyDescent="0.35">
      <c r="A41" s="1" t="s">
        <v>7</v>
      </c>
      <c r="B41" s="1" t="s">
        <v>11</v>
      </c>
      <c r="C41" s="1"/>
      <c r="D41" s="1">
        <f t="shared" si="35"/>
        <v>0</v>
      </c>
      <c r="E41" s="1">
        <f t="shared" si="35"/>
        <v>0</v>
      </c>
      <c r="F41" s="1">
        <f t="shared" si="35"/>
        <v>0</v>
      </c>
      <c r="G41" s="1">
        <f t="shared" si="35"/>
        <v>0</v>
      </c>
      <c r="H41" s="1">
        <f t="shared" si="35"/>
        <v>0</v>
      </c>
      <c r="I41" s="1">
        <f t="shared" si="35"/>
        <v>0</v>
      </c>
      <c r="J41" s="1">
        <f t="shared" si="35"/>
        <v>0</v>
      </c>
      <c r="K41" s="1">
        <f t="shared" si="35"/>
        <v>0</v>
      </c>
      <c r="L41" s="1">
        <f t="shared" si="35"/>
        <v>0</v>
      </c>
      <c r="M41" s="1">
        <f t="shared" si="35"/>
        <v>0</v>
      </c>
      <c r="R41" s="17"/>
    </row>
    <row r="42" spans="1:27" x14ac:dyDescent="0.35">
      <c r="A42" s="1"/>
      <c r="B42" s="1" t="s">
        <v>72</v>
      </c>
      <c r="C42" s="1"/>
      <c r="D42" s="1">
        <f t="shared" si="35"/>
        <v>0</v>
      </c>
      <c r="E42" s="1">
        <f t="shared" si="35"/>
        <v>0</v>
      </c>
      <c r="F42" s="1">
        <f t="shared" si="35"/>
        <v>0</v>
      </c>
      <c r="G42" s="1">
        <f t="shared" si="35"/>
        <v>0</v>
      </c>
      <c r="H42" s="1">
        <f t="shared" si="35"/>
        <v>0</v>
      </c>
      <c r="I42" s="1">
        <f t="shared" si="35"/>
        <v>0</v>
      </c>
      <c r="J42" s="1">
        <f t="shared" si="35"/>
        <v>0</v>
      </c>
      <c r="K42" s="1">
        <f t="shared" si="35"/>
        <v>0</v>
      </c>
      <c r="L42" s="1">
        <f t="shared" si="35"/>
        <v>0</v>
      </c>
      <c r="M42" s="1">
        <f t="shared" si="35"/>
        <v>0</v>
      </c>
      <c r="R42" s="17"/>
    </row>
    <row r="43" spans="1:27" x14ac:dyDescent="0.35">
      <c r="A43" s="1"/>
      <c r="B43" s="1" t="s">
        <v>18</v>
      </c>
      <c r="C43" s="1"/>
      <c r="D43" s="1">
        <f t="shared" si="35"/>
        <v>0</v>
      </c>
      <c r="E43" s="1">
        <f t="shared" si="35"/>
        <v>0</v>
      </c>
      <c r="F43" s="1">
        <f t="shared" si="35"/>
        <v>0</v>
      </c>
      <c r="G43" s="1">
        <f t="shared" si="35"/>
        <v>0</v>
      </c>
      <c r="H43" s="1">
        <f t="shared" si="35"/>
        <v>0</v>
      </c>
      <c r="I43" s="1">
        <f t="shared" si="35"/>
        <v>0</v>
      </c>
      <c r="J43" s="1">
        <f t="shared" si="35"/>
        <v>0</v>
      </c>
      <c r="K43" s="1">
        <f t="shared" si="35"/>
        <v>0</v>
      </c>
      <c r="L43" s="1">
        <f t="shared" si="35"/>
        <v>0</v>
      </c>
      <c r="M43" s="1">
        <f t="shared" si="35"/>
        <v>0</v>
      </c>
    </row>
    <row r="44" spans="1:27" x14ac:dyDescent="0.35">
      <c r="A44" s="1"/>
      <c r="B44" s="1" t="s">
        <v>13</v>
      </c>
      <c r="C44" s="1"/>
      <c r="D44" s="1">
        <f t="shared" si="35"/>
        <v>0</v>
      </c>
      <c r="E44" s="1">
        <f t="shared" si="35"/>
        <v>1</v>
      </c>
      <c r="F44" s="1">
        <f t="shared" si="35"/>
        <v>1</v>
      </c>
      <c r="G44" s="1">
        <f t="shared" si="35"/>
        <v>0</v>
      </c>
      <c r="H44" s="1">
        <f t="shared" si="35"/>
        <v>0</v>
      </c>
      <c r="I44" s="1">
        <f t="shared" si="35"/>
        <v>0</v>
      </c>
      <c r="J44" s="1">
        <f t="shared" si="35"/>
        <v>1</v>
      </c>
      <c r="K44" s="1">
        <f t="shared" si="35"/>
        <v>0</v>
      </c>
      <c r="L44" s="1">
        <f t="shared" si="35"/>
        <v>0</v>
      </c>
      <c r="M44" s="1">
        <f t="shared" si="35"/>
        <v>0</v>
      </c>
    </row>
    <row r="45" spans="1:27" x14ac:dyDescent="0.35">
      <c r="A45" s="1" t="s">
        <v>8</v>
      </c>
      <c r="B45" s="1" t="s">
        <v>11</v>
      </c>
      <c r="C45" s="1"/>
      <c r="D45" s="1">
        <f t="shared" si="35"/>
        <v>0</v>
      </c>
      <c r="E45" s="1">
        <f t="shared" si="35"/>
        <v>0</v>
      </c>
      <c r="F45" s="1">
        <f t="shared" si="35"/>
        <v>0</v>
      </c>
      <c r="G45" s="1">
        <f t="shared" si="35"/>
        <v>0</v>
      </c>
      <c r="H45" s="1">
        <f t="shared" si="35"/>
        <v>0</v>
      </c>
      <c r="I45" s="1">
        <f t="shared" si="35"/>
        <v>0</v>
      </c>
      <c r="J45" s="1">
        <f t="shared" si="35"/>
        <v>0</v>
      </c>
      <c r="K45" s="1">
        <f t="shared" si="35"/>
        <v>0</v>
      </c>
      <c r="L45" s="1">
        <f t="shared" si="35"/>
        <v>0</v>
      </c>
      <c r="M45" s="1">
        <f t="shared" si="35"/>
        <v>0</v>
      </c>
    </row>
    <row r="46" spans="1:27" x14ac:dyDescent="0.35">
      <c r="A46" s="1"/>
      <c r="B46" s="1" t="s">
        <v>72</v>
      </c>
      <c r="C46" s="1"/>
      <c r="D46" s="1">
        <f t="shared" si="35"/>
        <v>0</v>
      </c>
      <c r="E46" s="1">
        <f t="shared" si="35"/>
        <v>0</v>
      </c>
      <c r="F46" s="1">
        <f t="shared" si="35"/>
        <v>0</v>
      </c>
      <c r="G46" s="1">
        <f t="shared" si="35"/>
        <v>0</v>
      </c>
      <c r="H46" s="1">
        <f t="shared" si="35"/>
        <v>0</v>
      </c>
      <c r="I46" s="1">
        <f t="shared" si="35"/>
        <v>0</v>
      </c>
      <c r="J46" s="1">
        <f t="shared" si="35"/>
        <v>0</v>
      </c>
      <c r="K46" s="1">
        <f t="shared" si="35"/>
        <v>0</v>
      </c>
      <c r="L46" s="1">
        <f t="shared" si="35"/>
        <v>0</v>
      </c>
      <c r="M46" s="1">
        <f t="shared" si="35"/>
        <v>0</v>
      </c>
    </row>
    <row r="47" spans="1:27" x14ac:dyDescent="0.35">
      <c r="A47" s="1"/>
      <c r="B47" s="1" t="s">
        <v>18</v>
      </c>
      <c r="C47" s="1"/>
      <c r="D47" s="1">
        <f t="shared" si="35"/>
        <v>1</v>
      </c>
      <c r="E47" s="1">
        <f t="shared" si="35"/>
        <v>2</v>
      </c>
      <c r="F47" s="1">
        <f t="shared" si="35"/>
        <v>3</v>
      </c>
      <c r="G47" s="1">
        <f t="shared" si="35"/>
        <v>0</v>
      </c>
      <c r="H47" s="1">
        <f t="shared" si="35"/>
        <v>0</v>
      </c>
      <c r="I47" s="1">
        <f t="shared" si="35"/>
        <v>3</v>
      </c>
      <c r="J47" s="1">
        <f t="shared" si="35"/>
        <v>0</v>
      </c>
      <c r="K47" s="1">
        <f t="shared" si="35"/>
        <v>0</v>
      </c>
      <c r="L47" s="1">
        <f t="shared" si="35"/>
        <v>0</v>
      </c>
      <c r="M47" s="1">
        <f t="shared" si="35"/>
        <v>0</v>
      </c>
    </row>
    <row r="48" spans="1:27" x14ac:dyDescent="0.35">
      <c r="A48" s="1"/>
      <c r="B48" s="1" t="s">
        <v>13</v>
      </c>
      <c r="C48" s="1"/>
      <c r="D48" s="1">
        <f t="shared" si="35"/>
        <v>6</v>
      </c>
      <c r="E48" s="1">
        <f t="shared" si="35"/>
        <v>1</v>
      </c>
      <c r="F48" s="1">
        <f t="shared" si="35"/>
        <v>7</v>
      </c>
      <c r="G48" s="1">
        <f t="shared" si="35"/>
        <v>0</v>
      </c>
      <c r="H48" s="1">
        <f t="shared" si="35"/>
        <v>0</v>
      </c>
      <c r="I48" s="1">
        <f t="shared" si="35"/>
        <v>6</v>
      </c>
      <c r="J48" s="1">
        <f t="shared" si="35"/>
        <v>1</v>
      </c>
      <c r="K48" s="1">
        <f t="shared" si="35"/>
        <v>0</v>
      </c>
      <c r="L48" s="1">
        <f t="shared" si="35"/>
        <v>0</v>
      </c>
      <c r="M48" s="1">
        <f t="shared" si="35"/>
        <v>0</v>
      </c>
    </row>
    <row r="49" spans="1:17" x14ac:dyDescent="0.35">
      <c r="A49" s="1"/>
      <c r="B49" s="1" t="s">
        <v>74</v>
      </c>
      <c r="C49" s="1"/>
      <c r="D49" s="1">
        <f t="shared" si="35"/>
        <v>0</v>
      </c>
      <c r="E49" s="1">
        <f t="shared" si="35"/>
        <v>0</v>
      </c>
      <c r="F49" s="1">
        <f t="shared" si="35"/>
        <v>0</v>
      </c>
      <c r="G49" s="1">
        <f t="shared" si="35"/>
        <v>0</v>
      </c>
      <c r="H49" s="1">
        <f t="shared" si="35"/>
        <v>0</v>
      </c>
      <c r="I49" s="1">
        <f t="shared" si="35"/>
        <v>0</v>
      </c>
      <c r="J49" s="1">
        <f t="shared" si="35"/>
        <v>0</v>
      </c>
      <c r="K49" s="1">
        <f t="shared" si="35"/>
        <v>0</v>
      </c>
      <c r="L49" s="1">
        <f t="shared" si="35"/>
        <v>0</v>
      </c>
      <c r="M49" s="1">
        <f t="shared" si="35"/>
        <v>0</v>
      </c>
    </row>
    <row r="50" spans="1:17" x14ac:dyDescent="0.35">
      <c r="A50" s="1" t="s">
        <v>9</v>
      </c>
      <c r="B50" s="1" t="s">
        <v>11</v>
      </c>
      <c r="C50" s="1"/>
      <c r="D50" s="1">
        <f t="shared" si="35"/>
        <v>0</v>
      </c>
      <c r="E50" s="1">
        <f t="shared" si="35"/>
        <v>0</v>
      </c>
      <c r="F50" s="1">
        <f t="shared" si="35"/>
        <v>0</v>
      </c>
      <c r="G50" s="1">
        <f t="shared" si="35"/>
        <v>0</v>
      </c>
      <c r="H50" s="1">
        <f t="shared" si="35"/>
        <v>0</v>
      </c>
      <c r="I50" s="1">
        <f t="shared" si="35"/>
        <v>0</v>
      </c>
      <c r="J50" s="1">
        <f t="shared" si="35"/>
        <v>0</v>
      </c>
      <c r="K50" s="1">
        <f t="shared" si="35"/>
        <v>0</v>
      </c>
      <c r="L50" s="1">
        <f t="shared" si="35"/>
        <v>0</v>
      </c>
      <c r="M50" s="1">
        <f t="shared" si="35"/>
        <v>0</v>
      </c>
    </row>
    <row r="51" spans="1:17" x14ac:dyDescent="0.35">
      <c r="A51" s="1"/>
      <c r="B51" s="1" t="s">
        <v>72</v>
      </c>
      <c r="C51" s="1"/>
      <c r="D51" s="1">
        <f t="shared" si="35"/>
        <v>1</v>
      </c>
      <c r="E51" s="1">
        <f t="shared" si="35"/>
        <v>0</v>
      </c>
      <c r="F51" s="1">
        <f t="shared" si="35"/>
        <v>1</v>
      </c>
      <c r="G51" s="1">
        <f t="shared" si="35"/>
        <v>0</v>
      </c>
      <c r="H51" s="1">
        <f t="shared" si="35"/>
        <v>1</v>
      </c>
      <c r="I51" s="1">
        <f t="shared" si="35"/>
        <v>0</v>
      </c>
      <c r="J51" s="1">
        <f t="shared" si="35"/>
        <v>0</v>
      </c>
      <c r="K51" s="1">
        <f t="shared" si="35"/>
        <v>0</v>
      </c>
      <c r="L51" s="1">
        <f t="shared" si="35"/>
        <v>0</v>
      </c>
      <c r="M51" s="1">
        <f t="shared" si="35"/>
        <v>0</v>
      </c>
    </row>
    <row r="52" spans="1:17" x14ac:dyDescent="0.35">
      <c r="A52" s="1"/>
      <c r="B52" s="1" t="s">
        <v>18</v>
      </c>
      <c r="C52" s="1"/>
      <c r="D52" s="1">
        <f t="shared" si="35"/>
        <v>3</v>
      </c>
      <c r="E52" s="1">
        <f t="shared" si="35"/>
        <v>0</v>
      </c>
      <c r="F52" s="1">
        <f t="shared" si="35"/>
        <v>3</v>
      </c>
      <c r="G52" s="1">
        <f t="shared" si="35"/>
        <v>0</v>
      </c>
      <c r="H52" s="1">
        <f t="shared" si="35"/>
        <v>0</v>
      </c>
      <c r="I52" s="1">
        <f t="shared" si="35"/>
        <v>3</v>
      </c>
      <c r="J52" s="1">
        <f t="shared" si="35"/>
        <v>0</v>
      </c>
      <c r="K52" s="1">
        <f t="shared" si="35"/>
        <v>0</v>
      </c>
      <c r="L52" s="1">
        <f t="shared" si="35"/>
        <v>0</v>
      </c>
      <c r="M52" s="1">
        <f t="shared" si="35"/>
        <v>0</v>
      </c>
    </row>
    <row r="53" spans="1:17" x14ac:dyDescent="0.35">
      <c r="A53" s="1"/>
      <c r="B53" s="1" t="s">
        <v>13</v>
      </c>
      <c r="C53" s="1"/>
      <c r="D53" s="1">
        <f t="shared" si="35"/>
        <v>0</v>
      </c>
      <c r="E53" s="1">
        <f t="shared" si="35"/>
        <v>1</v>
      </c>
      <c r="F53" s="1">
        <f t="shared" si="35"/>
        <v>1</v>
      </c>
      <c r="G53" s="1">
        <f t="shared" si="35"/>
        <v>0</v>
      </c>
      <c r="H53" s="1">
        <f t="shared" si="35"/>
        <v>0</v>
      </c>
      <c r="I53" s="1">
        <f t="shared" si="35"/>
        <v>1</v>
      </c>
      <c r="J53" s="1">
        <f t="shared" si="35"/>
        <v>0</v>
      </c>
      <c r="K53" s="1">
        <f t="shared" si="35"/>
        <v>0</v>
      </c>
      <c r="L53" s="1">
        <f t="shared" si="35"/>
        <v>0</v>
      </c>
      <c r="M53" s="1">
        <f t="shared" si="35"/>
        <v>0</v>
      </c>
      <c r="N53" s="12" t="s">
        <v>66</v>
      </c>
    </row>
    <row r="54" spans="1:17" x14ac:dyDescent="0.35">
      <c r="A54" s="1"/>
      <c r="B54" s="1" t="s">
        <v>74</v>
      </c>
      <c r="C54" s="1"/>
      <c r="D54" s="1">
        <f t="shared" ref="D54:M54" si="36">(D75+D96+D117+D138+D159+D180+D201+D222)</f>
        <v>0</v>
      </c>
      <c r="E54" s="1">
        <f t="shared" si="36"/>
        <v>0</v>
      </c>
      <c r="F54" s="1">
        <f t="shared" si="36"/>
        <v>0</v>
      </c>
      <c r="G54" s="1">
        <f t="shared" si="36"/>
        <v>0</v>
      </c>
      <c r="H54" s="1">
        <f t="shared" si="36"/>
        <v>0</v>
      </c>
      <c r="I54" s="1">
        <f t="shared" si="36"/>
        <v>0</v>
      </c>
      <c r="J54" s="1">
        <f t="shared" si="36"/>
        <v>0</v>
      </c>
      <c r="K54" s="1">
        <f t="shared" si="36"/>
        <v>0</v>
      </c>
      <c r="L54" s="1">
        <f t="shared" si="36"/>
        <v>0</v>
      </c>
      <c r="M54" s="1">
        <f t="shared" si="36"/>
        <v>0</v>
      </c>
      <c r="N54" s="12">
        <f>SUM(C36:E54)</f>
        <v>18</v>
      </c>
    </row>
    <row r="56" spans="1:17" x14ac:dyDescent="0.35">
      <c r="A56" s="18"/>
      <c r="B56" s="16" t="s">
        <v>16</v>
      </c>
      <c r="C56" s="16" t="s">
        <v>42</v>
      </c>
      <c r="D56" s="16" t="s">
        <v>3</v>
      </c>
      <c r="E56" s="16" t="s">
        <v>4</v>
      </c>
      <c r="F56" s="16" t="s">
        <v>10</v>
      </c>
      <c r="G56" s="16" t="s">
        <v>17</v>
      </c>
      <c r="H56" s="16" t="s">
        <v>19</v>
      </c>
      <c r="I56" s="16" t="s">
        <v>20</v>
      </c>
      <c r="J56" s="16" t="s">
        <v>21</v>
      </c>
      <c r="K56" s="16" t="s">
        <v>22</v>
      </c>
      <c r="L56" s="16" t="s">
        <v>23</v>
      </c>
      <c r="M56" s="16" t="s">
        <v>24</v>
      </c>
      <c r="N56" s="16" t="s">
        <v>15</v>
      </c>
      <c r="P56" s="16" t="s">
        <v>28</v>
      </c>
      <c r="Q56" s="16" t="s">
        <v>29</v>
      </c>
    </row>
    <row r="57" spans="1:17" x14ac:dyDescent="0.35">
      <c r="A57" s="16" t="s">
        <v>5</v>
      </c>
      <c r="O57" s="16" t="s">
        <v>43</v>
      </c>
    </row>
    <row r="58" spans="1:17" x14ac:dyDescent="0.35">
      <c r="A58" s="16" t="s">
        <v>6</v>
      </c>
      <c r="B58" s="16" t="s">
        <v>11</v>
      </c>
      <c r="O58" s="16" t="s">
        <v>44</v>
      </c>
    </row>
    <row r="59" spans="1:17" x14ac:dyDescent="0.35">
      <c r="B59" s="16" t="s">
        <v>72</v>
      </c>
      <c r="O59" s="16" t="s">
        <v>45</v>
      </c>
    </row>
    <row r="60" spans="1:17" x14ac:dyDescent="0.35">
      <c r="B60" s="16" t="s">
        <v>18</v>
      </c>
      <c r="O60" s="16" t="s">
        <v>46</v>
      </c>
    </row>
    <row r="61" spans="1:17" x14ac:dyDescent="0.35">
      <c r="B61" s="16" t="s">
        <v>13</v>
      </c>
    </row>
    <row r="62" spans="1:17" x14ac:dyDescent="0.35">
      <c r="A62" s="16" t="s">
        <v>7</v>
      </c>
      <c r="B62" s="16" t="s">
        <v>11</v>
      </c>
    </row>
    <row r="63" spans="1:17" x14ac:dyDescent="0.35">
      <c r="B63" s="16" t="s">
        <v>72</v>
      </c>
    </row>
    <row r="64" spans="1:17" x14ac:dyDescent="0.35">
      <c r="B64" s="16" t="s">
        <v>18</v>
      </c>
    </row>
    <row r="65" spans="1:17" x14ac:dyDescent="0.35">
      <c r="B65" s="16" t="s">
        <v>13</v>
      </c>
    </row>
    <row r="66" spans="1:17" x14ac:dyDescent="0.35">
      <c r="A66" s="16" t="s">
        <v>8</v>
      </c>
      <c r="B66" s="16" t="s">
        <v>11</v>
      </c>
    </row>
    <row r="67" spans="1:17" x14ac:dyDescent="0.35">
      <c r="B67" s="16" t="s">
        <v>72</v>
      </c>
    </row>
    <row r="68" spans="1:17" x14ac:dyDescent="0.35">
      <c r="B68" s="16" t="s">
        <v>18</v>
      </c>
    </row>
    <row r="69" spans="1:17" x14ac:dyDescent="0.35">
      <c r="B69" s="16" t="s">
        <v>13</v>
      </c>
    </row>
    <row r="70" spans="1:17" x14ac:dyDescent="0.35">
      <c r="B70" s="16" t="s">
        <v>74</v>
      </c>
    </row>
    <row r="71" spans="1:17" x14ac:dyDescent="0.35">
      <c r="A71" s="16" t="s">
        <v>9</v>
      </c>
      <c r="B71" s="16" t="s">
        <v>11</v>
      </c>
    </row>
    <row r="72" spans="1:17" x14ac:dyDescent="0.35">
      <c r="B72" s="16" t="s">
        <v>72</v>
      </c>
    </row>
    <row r="73" spans="1:17" x14ac:dyDescent="0.35">
      <c r="B73" s="16" t="s">
        <v>18</v>
      </c>
    </row>
    <row r="74" spans="1:17" x14ac:dyDescent="0.35">
      <c r="B74" s="16" t="s">
        <v>13</v>
      </c>
    </row>
    <row r="75" spans="1:17" x14ac:dyDescent="0.35">
      <c r="B75" s="16" t="s">
        <v>74</v>
      </c>
    </row>
    <row r="77" spans="1:17" x14ac:dyDescent="0.35">
      <c r="A77" s="18" t="s">
        <v>90</v>
      </c>
      <c r="B77" s="19">
        <v>44647</v>
      </c>
      <c r="C77" s="16" t="s">
        <v>81</v>
      </c>
      <c r="D77" s="16" t="s">
        <v>3</v>
      </c>
      <c r="E77" s="16" t="s">
        <v>4</v>
      </c>
      <c r="F77" s="16" t="s">
        <v>10</v>
      </c>
      <c r="G77" s="16" t="s">
        <v>17</v>
      </c>
      <c r="H77" s="16" t="s">
        <v>19</v>
      </c>
      <c r="I77" s="16" t="s">
        <v>20</v>
      </c>
      <c r="J77" s="16" t="s">
        <v>21</v>
      </c>
      <c r="K77" s="16" t="s">
        <v>22</v>
      </c>
      <c r="L77" s="16" t="s">
        <v>23</v>
      </c>
      <c r="M77" s="16" t="s">
        <v>24</v>
      </c>
      <c r="N77" s="16" t="s">
        <v>15</v>
      </c>
      <c r="P77" s="16" t="s">
        <v>28</v>
      </c>
      <c r="Q77" s="16" t="s">
        <v>29</v>
      </c>
    </row>
    <row r="78" spans="1:17" x14ac:dyDescent="0.35">
      <c r="A78" s="16" t="s">
        <v>5</v>
      </c>
      <c r="D78" s="16">
        <v>0</v>
      </c>
      <c r="E78" s="16">
        <v>0</v>
      </c>
      <c r="N78" s="16">
        <v>11</v>
      </c>
      <c r="O78" s="16" t="s">
        <v>43</v>
      </c>
    </row>
    <row r="79" spans="1:17" x14ac:dyDescent="0.35">
      <c r="A79" s="16" t="s">
        <v>6</v>
      </c>
      <c r="B79" s="16" t="s">
        <v>11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2</v>
      </c>
      <c r="O79" s="16" t="s">
        <v>44</v>
      </c>
    </row>
    <row r="80" spans="1:17" x14ac:dyDescent="0.35">
      <c r="B80" s="16" t="s">
        <v>72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4</v>
      </c>
      <c r="O80" s="16" t="s">
        <v>45</v>
      </c>
    </row>
    <row r="81" spans="1:15" x14ac:dyDescent="0.35">
      <c r="B81" s="16" t="s">
        <v>18</v>
      </c>
      <c r="D81" s="16">
        <v>1</v>
      </c>
      <c r="E81" s="16">
        <v>0</v>
      </c>
      <c r="F81" s="16">
        <v>1</v>
      </c>
      <c r="G81" s="16">
        <v>0</v>
      </c>
      <c r="H81" s="16">
        <v>0</v>
      </c>
      <c r="I81" s="16">
        <v>1</v>
      </c>
      <c r="J81" s="16">
        <v>0</v>
      </c>
      <c r="K81" s="16">
        <v>0</v>
      </c>
      <c r="L81" s="16">
        <v>0</v>
      </c>
      <c r="M81" s="16">
        <v>0</v>
      </c>
      <c r="N81" s="16">
        <v>2.75</v>
      </c>
      <c r="O81" s="16" t="s">
        <v>46</v>
      </c>
    </row>
    <row r="82" spans="1:15" x14ac:dyDescent="0.35">
      <c r="B82" s="16" t="s">
        <v>13</v>
      </c>
      <c r="D82" s="16">
        <v>1</v>
      </c>
      <c r="E82" s="16">
        <v>0</v>
      </c>
      <c r="F82" s="16">
        <v>1</v>
      </c>
      <c r="G82" s="16">
        <v>0</v>
      </c>
      <c r="H82" s="16">
        <v>0</v>
      </c>
      <c r="I82" s="16">
        <v>1</v>
      </c>
      <c r="J82" s="16">
        <v>0</v>
      </c>
      <c r="K82" s="16">
        <v>0</v>
      </c>
      <c r="L82" s="16">
        <v>0</v>
      </c>
      <c r="M82" s="16">
        <v>0</v>
      </c>
    </row>
    <row r="83" spans="1:15" x14ac:dyDescent="0.35">
      <c r="A83" s="16" t="s">
        <v>7</v>
      </c>
      <c r="B83" s="16" t="s">
        <v>11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</row>
    <row r="84" spans="1:15" x14ac:dyDescent="0.35">
      <c r="B84" s="16" t="s">
        <v>72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</row>
    <row r="85" spans="1:15" x14ac:dyDescent="0.35">
      <c r="B85" s="16" t="s">
        <v>18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</row>
    <row r="86" spans="1:15" x14ac:dyDescent="0.35">
      <c r="B86" s="16" t="s">
        <v>13</v>
      </c>
      <c r="D86" s="16">
        <v>0</v>
      </c>
      <c r="E86" s="16">
        <v>1</v>
      </c>
      <c r="F86" s="16">
        <v>1</v>
      </c>
      <c r="G86" s="16">
        <v>0</v>
      </c>
      <c r="H86" s="16">
        <v>0</v>
      </c>
      <c r="I86" s="16">
        <v>0</v>
      </c>
      <c r="J86" s="16">
        <v>1</v>
      </c>
      <c r="K86" s="16">
        <v>0</v>
      </c>
      <c r="L86" s="16">
        <v>0</v>
      </c>
      <c r="M86" s="16">
        <v>0</v>
      </c>
    </row>
    <row r="87" spans="1:15" x14ac:dyDescent="0.35">
      <c r="A87" s="16" t="s">
        <v>8</v>
      </c>
      <c r="B87" s="16" t="s">
        <v>11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</row>
    <row r="88" spans="1:15" x14ac:dyDescent="0.35">
      <c r="B88" s="16" t="s">
        <v>72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</row>
    <row r="89" spans="1:15" x14ac:dyDescent="0.35">
      <c r="B89" s="16" t="s">
        <v>18</v>
      </c>
      <c r="D89" s="16">
        <v>1</v>
      </c>
      <c r="E89" s="16">
        <v>2</v>
      </c>
      <c r="F89" s="16">
        <v>3</v>
      </c>
      <c r="G89" s="16">
        <v>0</v>
      </c>
      <c r="H89" s="16">
        <v>0</v>
      </c>
      <c r="I89" s="16">
        <v>3</v>
      </c>
      <c r="J89" s="16">
        <v>0</v>
      </c>
      <c r="K89" s="16">
        <v>0</v>
      </c>
      <c r="L89" s="16">
        <v>0</v>
      </c>
      <c r="M89" s="16">
        <v>0</v>
      </c>
    </row>
    <row r="90" spans="1:15" x14ac:dyDescent="0.35">
      <c r="B90" s="16" t="s">
        <v>13</v>
      </c>
      <c r="D90" s="16">
        <v>6</v>
      </c>
      <c r="E90" s="16">
        <v>1</v>
      </c>
      <c r="F90" s="16">
        <v>7</v>
      </c>
      <c r="G90" s="16">
        <v>0</v>
      </c>
      <c r="H90" s="16">
        <v>0</v>
      </c>
      <c r="I90" s="16">
        <v>6</v>
      </c>
      <c r="J90" s="16">
        <v>1</v>
      </c>
      <c r="K90" s="16">
        <v>0</v>
      </c>
      <c r="L90" s="16">
        <v>0</v>
      </c>
      <c r="M90" s="16">
        <v>0</v>
      </c>
    </row>
    <row r="91" spans="1:15" x14ac:dyDescent="0.35">
      <c r="B91" s="16" t="s">
        <v>74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</row>
    <row r="92" spans="1:15" x14ac:dyDescent="0.35">
      <c r="A92" s="16" t="s">
        <v>9</v>
      </c>
      <c r="B92" s="16" t="s">
        <v>11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</row>
    <row r="93" spans="1:15" x14ac:dyDescent="0.35">
      <c r="B93" s="16" t="s">
        <v>72</v>
      </c>
      <c r="D93" s="16">
        <v>1</v>
      </c>
      <c r="E93" s="16">
        <v>0</v>
      </c>
      <c r="F93" s="16">
        <v>1</v>
      </c>
      <c r="G93" s="16">
        <v>0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</row>
    <row r="94" spans="1:15" x14ac:dyDescent="0.35">
      <c r="B94" s="16" t="s">
        <v>18</v>
      </c>
      <c r="D94" s="16">
        <v>3</v>
      </c>
      <c r="E94" s="16">
        <v>0</v>
      </c>
      <c r="F94" s="16">
        <v>3</v>
      </c>
      <c r="G94" s="16">
        <v>0</v>
      </c>
      <c r="H94" s="16">
        <v>0</v>
      </c>
      <c r="I94" s="16">
        <v>3</v>
      </c>
      <c r="J94" s="16">
        <v>0</v>
      </c>
      <c r="K94" s="16">
        <v>0</v>
      </c>
      <c r="L94" s="16">
        <v>0</v>
      </c>
      <c r="M94" s="16">
        <v>0</v>
      </c>
    </row>
    <row r="95" spans="1:15" x14ac:dyDescent="0.35">
      <c r="B95" s="16" t="s">
        <v>13</v>
      </c>
      <c r="D95" s="16">
        <v>0</v>
      </c>
      <c r="E95" s="16">
        <v>1</v>
      </c>
      <c r="F95" s="16">
        <v>1</v>
      </c>
      <c r="G95" s="16">
        <v>0</v>
      </c>
      <c r="H95" s="16">
        <v>0</v>
      </c>
      <c r="I95" s="16">
        <v>1</v>
      </c>
      <c r="J95" s="16">
        <v>0</v>
      </c>
      <c r="K95" s="16">
        <v>0</v>
      </c>
      <c r="L95" s="16">
        <v>0</v>
      </c>
      <c r="M95" s="16">
        <v>0</v>
      </c>
    </row>
    <row r="96" spans="1:15" x14ac:dyDescent="0.35">
      <c r="B96" s="16" t="s">
        <v>74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</row>
    <row r="98" spans="1:17" x14ac:dyDescent="0.35">
      <c r="A98" s="18"/>
      <c r="B98" s="20">
        <v>44641</v>
      </c>
      <c r="C98" s="16" t="s">
        <v>48</v>
      </c>
      <c r="D98" s="16" t="s">
        <v>3</v>
      </c>
      <c r="E98" s="16" t="s">
        <v>4</v>
      </c>
      <c r="F98" s="16" t="s">
        <v>10</v>
      </c>
      <c r="G98" s="16" t="s">
        <v>17</v>
      </c>
      <c r="H98" s="16" t="s">
        <v>19</v>
      </c>
      <c r="I98" s="16" t="s">
        <v>20</v>
      </c>
      <c r="J98" s="16" t="s">
        <v>21</v>
      </c>
      <c r="K98" s="16" t="s">
        <v>22</v>
      </c>
      <c r="L98" s="16" t="s">
        <v>23</v>
      </c>
      <c r="M98" s="16" t="s">
        <v>24</v>
      </c>
      <c r="N98" s="16" t="s">
        <v>15</v>
      </c>
      <c r="P98" s="16" t="s">
        <v>28</v>
      </c>
      <c r="Q98" s="16" t="s">
        <v>29</v>
      </c>
    </row>
    <row r="99" spans="1:17" x14ac:dyDescent="0.35">
      <c r="A99" s="16" t="s">
        <v>5</v>
      </c>
      <c r="O99" s="16" t="s">
        <v>43</v>
      </c>
    </row>
    <row r="100" spans="1:17" x14ac:dyDescent="0.35">
      <c r="A100" s="16" t="s">
        <v>6</v>
      </c>
      <c r="B100" s="16" t="s">
        <v>11</v>
      </c>
      <c r="O100" s="16" t="s">
        <v>44</v>
      </c>
    </row>
    <row r="101" spans="1:17" x14ac:dyDescent="0.35">
      <c r="B101" s="16" t="s">
        <v>72</v>
      </c>
      <c r="O101" s="16" t="s">
        <v>45</v>
      </c>
    </row>
    <row r="102" spans="1:17" x14ac:dyDescent="0.35">
      <c r="B102" s="16" t="s">
        <v>18</v>
      </c>
      <c r="O102" s="16" t="s">
        <v>46</v>
      </c>
    </row>
    <row r="103" spans="1:17" x14ac:dyDescent="0.35">
      <c r="B103" s="16" t="s">
        <v>13</v>
      </c>
    </row>
    <row r="104" spans="1:17" x14ac:dyDescent="0.35">
      <c r="A104" s="16" t="s">
        <v>7</v>
      </c>
      <c r="B104" s="16" t="s">
        <v>11</v>
      </c>
    </row>
    <row r="105" spans="1:17" x14ac:dyDescent="0.35">
      <c r="B105" s="16" t="s">
        <v>72</v>
      </c>
    </row>
    <row r="106" spans="1:17" x14ac:dyDescent="0.35">
      <c r="B106" s="16" t="s">
        <v>18</v>
      </c>
    </row>
    <row r="107" spans="1:17" x14ac:dyDescent="0.35">
      <c r="B107" s="16" t="s">
        <v>13</v>
      </c>
    </row>
    <row r="108" spans="1:17" x14ac:dyDescent="0.35">
      <c r="A108" s="16" t="s">
        <v>8</v>
      </c>
      <c r="B108" s="16" t="s">
        <v>11</v>
      </c>
    </row>
    <row r="109" spans="1:17" x14ac:dyDescent="0.35">
      <c r="B109" s="16" t="s">
        <v>72</v>
      </c>
    </row>
    <row r="110" spans="1:17" x14ac:dyDescent="0.35">
      <c r="B110" s="16" t="s">
        <v>18</v>
      </c>
    </row>
    <row r="111" spans="1:17" x14ac:dyDescent="0.35">
      <c r="B111" s="16" t="s">
        <v>13</v>
      </c>
    </row>
    <row r="112" spans="1:17" x14ac:dyDescent="0.35">
      <c r="B112" s="16" t="s">
        <v>74</v>
      </c>
    </row>
    <row r="113" spans="1:17" x14ac:dyDescent="0.35">
      <c r="A113" s="16" t="s">
        <v>9</v>
      </c>
      <c r="B113" s="16" t="s">
        <v>11</v>
      </c>
    </row>
    <row r="114" spans="1:17" x14ac:dyDescent="0.35">
      <c r="B114" s="16" t="s">
        <v>72</v>
      </c>
    </row>
    <row r="115" spans="1:17" x14ac:dyDescent="0.35">
      <c r="B115" s="16" t="s">
        <v>18</v>
      </c>
    </row>
    <row r="116" spans="1:17" x14ac:dyDescent="0.35">
      <c r="B116" s="16" t="s">
        <v>13</v>
      </c>
    </row>
    <row r="117" spans="1:17" x14ac:dyDescent="0.35">
      <c r="B117" s="16" t="s">
        <v>74</v>
      </c>
    </row>
    <row r="119" spans="1:17" x14ac:dyDescent="0.35">
      <c r="A119" s="18"/>
      <c r="B119" s="20">
        <v>44641</v>
      </c>
      <c r="C119" s="16" t="s">
        <v>62</v>
      </c>
      <c r="D119" s="16" t="s">
        <v>3</v>
      </c>
      <c r="E119" s="16" t="s">
        <v>4</v>
      </c>
      <c r="F119" s="16" t="s">
        <v>10</v>
      </c>
      <c r="G119" s="16" t="s">
        <v>17</v>
      </c>
      <c r="H119" s="16" t="s">
        <v>19</v>
      </c>
      <c r="I119" s="16" t="s">
        <v>20</v>
      </c>
      <c r="J119" s="16" t="s">
        <v>21</v>
      </c>
      <c r="K119" s="16" t="s">
        <v>22</v>
      </c>
      <c r="L119" s="16" t="s">
        <v>23</v>
      </c>
      <c r="M119" s="16" t="s">
        <v>24</v>
      </c>
      <c r="N119" s="16" t="s">
        <v>15</v>
      </c>
      <c r="P119" s="16" t="s">
        <v>28</v>
      </c>
      <c r="Q119" s="16" t="s">
        <v>29</v>
      </c>
    </row>
    <row r="120" spans="1:17" x14ac:dyDescent="0.35">
      <c r="A120" s="16" t="s">
        <v>5</v>
      </c>
      <c r="O120" s="16" t="s">
        <v>43</v>
      </c>
    </row>
    <row r="121" spans="1:17" x14ac:dyDescent="0.35">
      <c r="A121" s="16" t="s">
        <v>6</v>
      </c>
      <c r="B121" s="16" t="s">
        <v>11</v>
      </c>
      <c r="O121" s="16" t="s">
        <v>44</v>
      </c>
    </row>
    <row r="122" spans="1:17" x14ac:dyDescent="0.35">
      <c r="B122" s="16" t="s">
        <v>72</v>
      </c>
      <c r="O122" s="16" t="s">
        <v>45</v>
      </c>
    </row>
    <row r="123" spans="1:17" x14ac:dyDescent="0.35">
      <c r="B123" s="16" t="s">
        <v>18</v>
      </c>
      <c r="O123" s="16" t="s">
        <v>46</v>
      </c>
    </row>
    <row r="124" spans="1:17" x14ac:dyDescent="0.35">
      <c r="B124" s="16" t="s">
        <v>13</v>
      </c>
    </row>
    <row r="125" spans="1:17" x14ac:dyDescent="0.35">
      <c r="A125" s="16" t="s">
        <v>7</v>
      </c>
      <c r="B125" s="16" t="s">
        <v>11</v>
      </c>
    </row>
    <row r="126" spans="1:17" x14ac:dyDescent="0.35">
      <c r="B126" s="16" t="s">
        <v>72</v>
      </c>
    </row>
    <row r="127" spans="1:17" x14ac:dyDescent="0.35">
      <c r="B127" s="16" t="s">
        <v>18</v>
      </c>
    </row>
    <row r="128" spans="1:17" x14ac:dyDescent="0.35">
      <c r="B128" s="16" t="s">
        <v>13</v>
      </c>
    </row>
    <row r="129" spans="1:17" x14ac:dyDescent="0.35">
      <c r="A129" s="16" t="s">
        <v>8</v>
      </c>
      <c r="B129" s="16" t="s">
        <v>11</v>
      </c>
    </row>
    <row r="130" spans="1:17" x14ac:dyDescent="0.35">
      <c r="B130" s="16" t="s">
        <v>72</v>
      </c>
    </row>
    <row r="131" spans="1:17" x14ac:dyDescent="0.35">
      <c r="B131" s="16" t="s">
        <v>18</v>
      </c>
    </row>
    <row r="132" spans="1:17" x14ac:dyDescent="0.35">
      <c r="B132" s="16" t="s">
        <v>13</v>
      </c>
    </row>
    <row r="133" spans="1:17" x14ac:dyDescent="0.35">
      <c r="B133" s="16" t="s">
        <v>74</v>
      </c>
    </row>
    <row r="134" spans="1:17" x14ac:dyDescent="0.35">
      <c r="A134" s="16" t="s">
        <v>9</v>
      </c>
      <c r="B134" s="16" t="s">
        <v>11</v>
      </c>
    </row>
    <row r="135" spans="1:17" x14ac:dyDescent="0.35">
      <c r="B135" s="16" t="s">
        <v>72</v>
      </c>
    </row>
    <row r="136" spans="1:17" x14ac:dyDescent="0.35">
      <c r="B136" s="16" t="s">
        <v>18</v>
      </c>
    </row>
    <row r="137" spans="1:17" x14ac:dyDescent="0.35">
      <c r="B137" s="16" t="s">
        <v>13</v>
      </c>
    </row>
    <row r="138" spans="1:17" x14ac:dyDescent="0.35">
      <c r="B138" s="16" t="s">
        <v>74</v>
      </c>
    </row>
    <row r="140" spans="1:17" x14ac:dyDescent="0.35">
      <c r="A140" s="18"/>
      <c r="B140" s="20">
        <v>44643</v>
      </c>
      <c r="C140" s="16" t="s">
        <v>42</v>
      </c>
      <c r="D140" s="16" t="s">
        <v>3</v>
      </c>
      <c r="E140" s="16" t="s">
        <v>4</v>
      </c>
      <c r="F140" s="16" t="s">
        <v>10</v>
      </c>
      <c r="G140" s="16" t="s">
        <v>17</v>
      </c>
      <c r="H140" s="16" t="s">
        <v>19</v>
      </c>
      <c r="I140" s="16" t="s">
        <v>20</v>
      </c>
      <c r="J140" s="16" t="s">
        <v>21</v>
      </c>
      <c r="K140" s="16" t="s">
        <v>22</v>
      </c>
      <c r="L140" s="16" t="s">
        <v>23</v>
      </c>
      <c r="M140" s="16" t="s">
        <v>24</v>
      </c>
      <c r="N140" s="16" t="s">
        <v>15</v>
      </c>
      <c r="P140" s="16" t="s">
        <v>28</v>
      </c>
      <c r="Q140" s="16" t="s">
        <v>29</v>
      </c>
    </row>
    <row r="141" spans="1:17" x14ac:dyDescent="0.35">
      <c r="A141" s="16" t="s">
        <v>5</v>
      </c>
      <c r="O141" s="16" t="s">
        <v>43</v>
      </c>
    </row>
    <row r="142" spans="1:17" x14ac:dyDescent="0.35">
      <c r="A142" s="16" t="s">
        <v>6</v>
      </c>
      <c r="B142" s="16" t="s">
        <v>11</v>
      </c>
      <c r="O142" s="16" t="s">
        <v>44</v>
      </c>
    </row>
    <row r="143" spans="1:17" x14ac:dyDescent="0.35">
      <c r="B143" s="16" t="s">
        <v>72</v>
      </c>
      <c r="O143" s="16" t="s">
        <v>45</v>
      </c>
    </row>
    <row r="144" spans="1:17" x14ac:dyDescent="0.35">
      <c r="B144" s="16" t="s">
        <v>18</v>
      </c>
      <c r="O144" s="16" t="s">
        <v>46</v>
      </c>
    </row>
    <row r="145" spans="1:2" x14ac:dyDescent="0.35">
      <c r="B145" s="16" t="s">
        <v>13</v>
      </c>
    </row>
    <row r="146" spans="1:2" x14ac:dyDescent="0.35">
      <c r="A146" s="16" t="s">
        <v>7</v>
      </c>
      <c r="B146" s="16" t="s">
        <v>11</v>
      </c>
    </row>
    <row r="147" spans="1:2" x14ac:dyDescent="0.35">
      <c r="B147" s="16" t="s">
        <v>72</v>
      </c>
    </row>
    <row r="148" spans="1:2" x14ac:dyDescent="0.35">
      <c r="B148" s="16" t="s">
        <v>18</v>
      </c>
    </row>
    <row r="149" spans="1:2" x14ac:dyDescent="0.35">
      <c r="B149" s="16" t="s">
        <v>13</v>
      </c>
    </row>
    <row r="150" spans="1:2" x14ac:dyDescent="0.35">
      <c r="A150" s="16" t="s">
        <v>8</v>
      </c>
      <c r="B150" s="16" t="s">
        <v>11</v>
      </c>
    </row>
    <row r="151" spans="1:2" x14ac:dyDescent="0.35">
      <c r="B151" s="16" t="s">
        <v>72</v>
      </c>
    </row>
    <row r="152" spans="1:2" x14ac:dyDescent="0.35">
      <c r="B152" s="16" t="s">
        <v>18</v>
      </c>
    </row>
    <row r="153" spans="1:2" x14ac:dyDescent="0.35">
      <c r="B153" s="16" t="s">
        <v>13</v>
      </c>
    </row>
    <row r="154" spans="1:2" x14ac:dyDescent="0.35">
      <c r="B154" s="16" t="s">
        <v>74</v>
      </c>
    </row>
    <row r="155" spans="1:2" x14ac:dyDescent="0.35">
      <c r="A155" s="16" t="s">
        <v>9</v>
      </c>
      <c r="B155" s="16" t="s">
        <v>11</v>
      </c>
    </row>
    <row r="156" spans="1:2" x14ac:dyDescent="0.35">
      <c r="B156" s="16" t="s">
        <v>72</v>
      </c>
    </row>
    <row r="157" spans="1:2" x14ac:dyDescent="0.35">
      <c r="B157" s="16" t="s">
        <v>18</v>
      </c>
    </row>
    <row r="158" spans="1:2" x14ac:dyDescent="0.35">
      <c r="B158" s="16" t="s">
        <v>13</v>
      </c>
    </row>
    <row r="159" spans="1:2" x14ac:dyDescent="0.35">
      <c r="B159" s="16" t="s">
        <v>74</v>
      </c>
    </row>
    <row r="161" spans="1:17" x14ac:dyDescent="0.35">
      <c r="A161" s="18"/>
      <c r="B161" s="20">
        <v>44643</v>
      </c>
      <c r="C161" s="16" t="s">
        <v>47</v>
      </c>
      <c r="D161" s="16" t="s">
        <v>3</v>
      </c>
      <c r="E161" s="16" t="s">
        <v>4</v>
      </c>
      <c r="F161" s="16" t="s">
        <v>10</v>
      </c>
      <c r="G161" s="16" t="s">
        <v>17</v>
      </c>
      <c r="H161" s="16" t="s">
        <v>19</v>
      </c>
      <c r="I161" s="16" t="s">
        <v>20</v>
      </c>
      <c r="J161" s="16" t="s">
        <v>21</v>
      </c>
      <c r="K161" s="16" t="s">
        <v>22</v>
      </c>
      <c r="L161" s="16" t="s">
        <v>23</v>
      </c>
      <c r="M161" s="16" t="s">
        <v>24</v>
      </c>
      <c r="N161" s="16" t="s">
        <v>15</v>
      </c>
      <c r="P161" s="16" t="s">
        <v>28</v>
      </c>
      <c r="Q161" s="16" t="s">
        <v>29</v>
      </c>
    </row>
    <row r="162" spans="1:17" x14ac:dyDescent="0.35">
      <c r="A162" s="16" t="s">
        <v>5</v>
      </c>
      <c r="O162" s="16" t="s">
        <v>43</v>
      </c>
    </row>
    <row r="163" spans="1:17" x14ac:dyDescent="0.35">
      <c r="A163" s="16" t="s">
        <v>6</v>
      </c>
      <c r="B163" s="16" t="s">
        <v>11</v>
      </c>
      <c r="O163" s="16" t="s">
        <v>44</v>
      </c>
    </row>
    <row r="164" spans="1:17" x14ac:dyDescent="0.35">
      <c r="B164" s="16" t="s">
        <v>72</v>
      </c>
      <c r="O164" s="16" t="s">
        <v>45</v>
      </c>
    </row>
    <row r="165" spans="1:17" x14ac:dyDescent="0.35">
      <c r="B165" s="16" t="s">
        <v>18</v>
      </c>
      <c r="O165" s="16" t="s">
        <v>46</v>
      </c>
    </row>
    <row r="166" spans="1:17" x14ac:dyDescent="0.35">
      <c r="B166" s="16" t="s">
        <v>13</v>
      </c>
    </row>
    <row r="167" spans="1:17" x14ac:dyDescent="0.35">
      <c r="A167" s="16" t="s">
        <v>7</v>
      </c>
      <c r="B167" s="16" t="s">
        <v>11</v>
      </c>
      <c r="O167" s="21"/>
      <c r="P167" s="21"/>
    </row>
    <row r="168" spans="1:17" x14ac:dyDescent="0.35">
      <c r="B168" s="16" t="s">
        <v>72</v>
      </c>
      <c r="O168" s="21"/>
      <c r="P168" s="21"/>
    </row>
    <row r="169" spans="1:17" x14ac:dyDescent="0.35">
      <c r="B169" s="16" t="s">
        <v>18</v>
      </c>
    </row>
    <row r="170" spans="1:17" x14ac:dyDescent="0.35">
      <c r="B170" s="16" t="s">
        <v>13</v>
      </c>
    </row>
    <row r="171" spans="1:17" x14ac:dyDescent="0.35">
      <c r="A171" s="16" t="s">
        <v>8</v>
      </c>
      <c r="B171" s="16" t="s">
        <v>11</v>
      </c>
    </row>
    <row r="172" spans="1:17" x14ac:dyDescent="0.35">
      <c r="B172" s="16" t="s">
        <v>72</v>
      </c>
    </row>
    <row r="173" spans="1:17" x14ac:dyDescent="0.35">
      <c r="B173" s="16" t="s">
        <v>18</v>
      </c>
    </row>
    <row r="174" spans="1:17" x14ac:dyDescent="0.35">
      <c r="B174" s="16" t="s">
        <v>13</v>
      </c>
    </row>
    <row r="175" spans="1:17" x14ac:dyDescent="0.35">
      <c r="B175" s="16" t="s">
        <v>74</v>
      </c>
    </row>
    <row r="176" spans="1:17" x14ac:dyDescent="0.35">
      <c r="A176" s="16" t="s">
        <v>9</v>
      </c>
      <c r="B176" s="16" t="s">
        <v>11</v>
      </c>
    </row>
    <row r="177" spans="1:17" x14ac:dyDescent="0.35">
      <c r="B177" s="16" t="s">
        <v>72</v>
      </c>
    </row>
    <row r="178" spans="1:17" x14ac:dyDescent="0.35">
      <c r="B178" s="16" t="s">
        <v>18</v>
      </c>
    </row>
    <row r="179" spans="1:17" x14ac:dyDescent="0.35">
      <c r="B179" s="16" t="s">
        <v>13</v>
      </c>
    </row>
    <row r="180" spans="1:17" x14ac:dyDescent="0.35">
      <c r="B180" s="16" t="s">
        <v>74</v>
      </c>
    </row>
    <row r="182" spans="1:17" x14ac:dyDescent="0.35">
      <c r="A182" s="18"/>
      <c r="B182" s="20">
        <v>44643</v>
      </c>
      <c r="C182" s="16" t="s">
        <v>48</v>
      </c>
      <c r="D182" s="16" t="s">
        <v>3</v>
      </c>
      <c r="E182" s="16" t="s">
        <v>4</v>
      </c>
      <c r="F182" s="16" t="s">
        <v>10</v>
      </c>
      <c r="G182" s="16" t="s">
        <v>17</v>
      </c>
      <c r="H182" s="16" t="s">
        <v>19</v>
      </c>
      <c r="I182" s="16" t="s">
        <v>20</v>
      </c>
      <c r="J182" s="16" t="s">
        <v>21</v>
      </c>
      <c r="K182" s="16" t="s">
        <v>22</v>
      </c>
      <c r="L182" s="16" t="s">
        <v>23</v>
      </c>
      <c r="M182" s="16" t="s">
        <v>24</v>
      </c>
      <c r="N182" s="16" t="s">
        <v>15</v>
      </c>
      <c r="P182" s="16" t="s">
        <v>28</v>
      </c>
      <c r="Q182" s="16" t="s">
        <v>29</v>
      </c>
    </row>
    <row r="183" spans="1:17" x14ac:dyDescent="0.35">
      <c r="A183" s="16" t="s">
        <v>5</v>
      </c>
      <c r="O183" s="16" t="s">
        <v>43</v>
      </c>
    </row>
    <row r="184" spans="1:17" x14ac:dyDescent="0.35">
      <c r="A184" s="16" t="s">
        <v>6</v>
      </c>
      <c r="B184" s="16" t="s">
        <v>11</v>
      </c>
      <c r="O184" s="16" t="s">
        <v>44</v>
      </c>
    </row>
    <row r="185" spans="1:17" x14ac:dyDescent="0.35">
      <c r="B185" s="16" t="s">
        <v>72</v>
      </c>
      <c r="O185" s="16" t="s">
        <v>45</v>
      </c>
    </row>
    <row r="186" spans="1:17" x14ac:dyDescent="0.35">
      <c r="B186" s="16" t="s">
        <v>18</v>
      </c>
      <c r="O186" s="16" t="s">
        <v>46</v>
      </c>
    </row>
    <row r="187" spans="1:17" x14ac:dyDescent="0.35">
      <c r="B187" s="16" t="s">
        <v>13</v>
      </c>
    </row>
    <row r="188" spans="1:17" x14ac:dyDescent="0.35">
      <c r="A188" s="16" t="s">
        <v>7</v>
      </c>
      <c r="B188" s="16" t="s">
        <v>11</v>
      </c>
    </row>
    <row r="189" spans="1:17" x14ac:dyDescent="0.35">
      <c r="B189" s="16" t="s">
        <v>72</v>
      </c>
    </row>
    <row r="190" spans="1:17" x14ac:dyDescent="0.35">
      <c r="B190" s="16" t="s">
        <v>18</v>
      </c>
    </row>
    <row r="191" spans="1:17" x14ac:dyDescent="0.35">
      <c r="B191" s="16" t="s">
        <v>13</v>
      </c>
    </row>
    <row r="192" spans="1:17" x14ac:dyDescent="0.35">
      <c r="A192" s="16" t="s">
        <v>8</v>
      </c>
      <c r="B192" s="16" t="s">
        <v>11</v>
      </c>
    </row>
    <row r="193" spans="1:17" x14ac:dyDescent="0.35">
      <c r="B193" s="16" t="s">
        <v>72</v>
      </c>
    </row>
    <row r="194" spans="1:17" x14ac:dyDescent="0.35">
      <c r="B194" s="16" t="s">
        <v>18</v>
      </c>
    </row>
    <row r="195" spans="1:17" x14ac:dyDescent="0.35">
      <c r="B195" s="16" t="s">
        <v>13</v>
      </c>
    </row>
    <row r="196" spans="1:17" x14ac:dyDescent="0.35">
      <c r="B196" s="16" t="s">
        <v>74</v>
      </c>
    </row>
    <row r="197" spans="1:17" x14ac:dyDescent="0.35">
      <c r="A197" s="16" t="s">
        <v>9</v>
      </c>
      <c r="B197" s="16" t="s">
        <v>11</v>
      </c>
    </row>
    <row r="198" spans="1:17" x14ac:dyDescent="0.35">
      <c r="B198" s="16" t="s">
        <v>72</v>
      </c>
    </row>
    <row r="199" spans="1:17" x14ac:dyDescent="0.35">
      <c r="B199" s="16" t="s">
        <v>18</v>
      </c>
    </row>
    <row r="200" spans="1:17" x14ac:dyDescent="0.35">
      <c r="B200" s="16" t="s">
        <v>13</v>
      </c>
    </row>
    <row r="201" spans="1:17" x14ac:dyDescent="0.35">
      <c r="B201" s="16" t="s">
        <v>74</v>
      </c>
    </row>
    <row r="203" spans="1:17" x14ac:dyDescent="0.35">
      <c r="A203" s="18"/>
      <c r="B203" s="20">
        <v>44643</v>
      </c>
      <c r="C203" s="16" t="s">
        <v>62</v>
      </c>
      <c r="D203" s="16" t="s">
        <v>3</v>
      </c>
      <c r="E203" s="16" t="s">
        <v>4</v>
      </c>
      <c r="F203" s="16" t="s">
        <v>10</v>
      </c>
      <c r="G203" s="16" t="s">
        <v>17</v>
      </c>
      <c r="H203" s="16" t="s">
        <v>19</v>
      </c>
      <c r="I203" s="16" t="s">
        <v>20</v>
      </c>
      <c r="J203" s="16" t="s">
        <v>21</v>
      </c>
      <c r="K203" s="16" t="s">
        <v>22</v>
      </c>
      <c r="L203" s="16" t="s">
        <v>23</v>
      </c>
      <c r="M203" s="16" t="s">
        <v>24</v>
      </c>
      <c r="N203" s="16" t="s">
        <v>15</v>
      </c>
      <c r="P203" s="16" t="s">
        <v>28</v>
      </c>
      <c r="Q203" s="16" t="s">
        <v>29</v>
      </c>
    </row>
    <row r="204" spans="1:17" x14ac:dyDescent="0.35">
      <c r="A204" s="16" t="s">
        <v>5</v>
      </c>
      <c r="O204" s="16" t="s">
        <v>43</v>
      </c>
    </row>
    <row r="205" spans="1:17" x14ac:dyDescent="0.35">
      <c r="A205" s="16" t="s">
        <v>6</v>
      </c>
      <c r="B205" s="16" t="s">
        <v>11</v>
      </c>
      <c r="O205" s="16" t="s">
        <v>44</v>
      </c>
    </row>
    <row r="206" spans="1:17" x14ac:dyDescent="0.35">
      <c r="B206" s="16" t="s">
        <v>72</v>
      </c>
      <c r="O206" s="16" t="s">
        <v>45</v>
      </c>
    </row>
    <row r="207" spans="1:17" x14ac:dyDescent="0.35">
      <c r="B207" s="16" t="s">
        <v>18</v>
      </c>
      <c r="O207" s="16" t="s">
        <v>46</v>
      </c>
    </row>
    <row r="208" spans="1:17" x14ac:dyDescent="0.35">
      <c r="B208" s="16" t="s">
        <v>13</v>
      </c>
    </row>
    <row r="209" spans="1:2" x14ac:dyDescent="0.35">
      <c r="A209" s="16" t="s">
        <v>7</v>
      </c>
      <c r="B209" s="16" t="s">
        <v>11</v>
      </c>
    </row>
    <row r="210" spans="1:2" x14ac:dyDescent="0.35">
      <c r="B210" s="16" t="s">
        <v>72</v>
      </c>
    </row>
    <row r="211" spans="1:2" x14ac:dyDescent="0.35">
      <c r="B211" s="16" t="s">
        <v>18</v>
      </c>
    </row>
    <row r="212" spans="1:2" x14ac:dyDescent="0.35">
      <c r="B212" s="16" t="s">
        <v>13</v>
      </c>
    </row>
    <row r="213" spans="1:2" x14ac:dyDescent="0.35">
      <c r="A213" s="16" t="s">
        <v>8</v>
      </c>
      <c r="B213" s="16" t="s">
        <v>11</v>
      </c>
    </row>
    <row r="214" spans="1:2" x14ac:dyDescent="0.35">
      <c r="B214" s="16" t="s">
        <v>72</v>
      </c>
    </row>
    <row r="215" spans="1:2" x14ac:dyDescent="0.35">
      <c r="B215" s="16" t="s">
        <v>18</v>
      </c>
    </row>
    <row r="216" spans="1:2" x14ac:dyDescent="0.35">
      <c r="B216" s="16" t="s">
        <v>13</v>
      </c>
    </row>
    <row r="217" spans="1:2" x14ac:dyDescent="0.35">
      <c r="B217" s="16" t="s">
        <v>74</v>
      </c>
    </row>
    <row r="218" spans="1:2" x14ac:dyDescent="0.35">
      <c r="A218" s="16" t="s">
        <v>9</v>
      </c>
      <c r="B218" s="16" t="s">
        <v>11</v>
      </c>
    </row>
    <row r="219" spans="1:2" x14ac:dyDescent="0.35">
      <c r="B219" s="16" t="s">
        <v>72</v>
      </c>
    </row>
    <row r="220" spans="1:2" x14ac:dyDescent="0.35">
      <c r="B220" s="16" t="s">
        <v>18</v>
      </c>
    </row>
    <row r="221" spans="1:2" x14ac:dyDescent="0.35">
      <c r="B221" s="16" t="s">
        <v>13</v>
      </c>
    </row>
    <row r="222" spans="1:2" x14ac:dyDescent="0.35">
      <c r="B222" s="16" t="s">
        <v>74</v>
      </c>
    </row>
  </sheetData>
  <mergeCells count="1">
    <mergeCell ref="S34:AA34"/>
  </mergeCells>
  <pageMargins left="0.7" right="0.7" top="0.75" bottom="0.75" header="0.3" footer="0.3"/>
  <pageSetup paperSize="9"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4CF52-ABC9-47DD-8ADF-2D19ABAE3694}">
  <sheetPr>
    <tabColor theme="9"/>
  </sheetPr>
  <dimension ref="A1:CT50"/>
  <sheetViews>
    <sheetView topLeftCell="BR1" workbookViewId="0">
      <selection activeCell="CP7" sqref="CP7"/>
    </sheetView>
  </sheetViews>
  <sheetFormatPr defaultRowHeight="14.5" x14ac:dyDescent="0.35"/>
  <cols>
    <col min="22" max="88" width="8.7265625" customWidth="1"/>
  </cols>
  <sheetData>
    <row r="1" spans="1:98" x14ac:dyDescent="0.35">
      <c r="B1" s="98" t="s">
        <v>137</v>
      </c>
      <c r="C1" s="98"/>
      <c r="D1" s="98"/>
      <c r="E1" s="98"/>
      <c r="F1" s="98"/>
      <c r="G1" s="98"/>
      <c r="H1" s="98"/>
      <c r="I1" s="98"/>
      <c r="J1" s="98"/>
      <c r="M1" s="98" t="s">
        <v>138</v>
      </c>
      <c r="N1" s="98"/>
      <c r="O1" s="98"/>
      <c r="P1" s="98"/>
      <c r="Q1" s="98"/>
      <c r="R1" s="98"/>
      <c r="S1" s="98"/>
      <c r="T1" s="98"/>
      <c r="U1" s="98"/>
      <c r="X1" s="98" t="s">
        <v>139</v>
      </c>
      <c r="Y1" s="98"/>
      <c r="Z1" s="98"/>
      <c r="AA1" s="98"/>
      <c r="AB1" s="98"/>
      <c r="AC1" s="98"/>
      <c r="AD1" s="98"/>
      <c r="AE1" s="98"/>
      <c r="AF1" s="98"/>
      <c r="AI1" s="98" t="s">
        <v>140</v>
      </c>
      <c r="AJ1" s="98"/>
      <c r="AK1" s="98"/>
      <c r="AL1" s="98"/>
      <c r="AM1" s="98"/>
      <c r="AN1" s="98"/>
      <c r="AO1" s="98"/>
      <c r="AP1" s="98"/>
      <c r="AQ1" s="98"/>
      <c r="AT1" s="98" t="s">
        <v>141</v>
      </c>
      <c r="AU1" s="98"/>
      <c r="AV1" s="98"/>
      <c r="AW1" s="98"/>
      <c r="AX1" s="98"/>
      <c r="AY1" s="98"/>
      <c r="AZ1" s="98"/>
      <c r="BA1" s="98"/>
      <c r="BB1" s="98"/>
      <c r="BE1" s="98" t="s">
        <v>142</v>
      </c>
      <c r="BF1" s="98"/>
      <c r="BG1" s="98"/>
      <c r="BH1" s="98"/>
      <c r="BI1" s="98"/>
      <c r="BJ1" s="98"/>
      <c r="BK1" s="98"/>
      <c r="BL1" s="98"/>
      <c r="BM1" s="98"/>
      <c r="BP1" s="98" t="s">
        <v>143</v>
      </c>
      <c r="BQ1" s="98"/>
      <c r="BR1" s="98"/>
      <c r="BS1" s="98"/>
      <c r="BT1" s="98"/>
      <c r="BU1" s="98"/>
      <c r="BV1" s="98"/>
      <c r="BW1" s="98"/>
      <c r="BX1" s="98"/>
      <c r="CA1" s="98" t="s">
        <v>144</v>
      </c>
      <c r="CB1" s="98"/>
      <c r="CC1" s="98"/>
      <c r="CD1" s="98"/>
      <c r="CE1" s="98"/>
      <c r="CF1" s="98"/>
      <c r="CG1" s="98"/>
      <c r="CH1" s="98"/>
      <c r="CI1" s="98"/>
      <c r="CL1" s="98" t="s">
        <v>145</v>
      </c>
      <c r="CM1" s="98"/>
      <c r="CN1" s="98"/>
      <c r="CO1" s="98"/>
      <c r="CP1" s="98"/>
      <c r="CQ1" s="98"/>
      <c r="CR1" s="98"/>
      <c r="CS1" s="98"/>
      <c r="CT1" s="98"/>
    </row>
    <row r="2" spans="1:98" x14ac:dyDescent="0.35">
      <c r="A2" s="1"/>
      <c r="B2" s="3" t="s">
        <v>1</v>
      </c>
      <c r="C2" s="3" t="s">
        <v>31</v>
      </c>
      <c r="D2" s="7" t="s">
        <v>2</v>
      </c>
      <c r="E2" s="7" t="s">
        <v>34</v>
      </c>
      <c r="F2" s="7" t="s">
        <v>36</v>
      </c>
      <c r="G2" s="7"/>
      <c r="H2" s="7"/>
      <c r="I2" s="3"/>
      <c r="J2" s="3"/>
      <c r="L2" s="1"/>
      <c r="M2" s="3" t="s">
        <v>1</v>
      </c>
      <c r="N2" s="3" t="s">
        <v>31</v>
      </c>
      <c r="O2" s="7" t="s">
        <v>2</v>
      </c>
      <c r="P2" s="7" t="s">
        <v>34</v>
      </c>
      <c r="Q2" s="7" t="s">
        <v>36</v>
      </c>
      <c r="R2" s="7"/>
      <c r="S2" s="7"/>
      <c r="T2" s="3"/>
      <c r="U2" s="3"/>
      <c r="W2" s="1"/>
      <c r="X2" s="3" t="s">
        <v>1</v>
      </c>
      <c r="Y2" s="3" t="s">
        <v>31</v>
      </c>
      <c r="Z2" s="7" t="s">
        <v>2</v>
      </c>
      <c r="AA2" s="7" t="s">
        <v>34</v>
      </c>
      <c r="AB2" s="7" t="s">
        <v>36</v>
      </c>
      <c r="AC2" s="7"/>
      <c r="AD2" s="7"/>
      <c r="AE2" s="3"/>
      <c r="AF2" s="3"/>
      <c r="AH2" s="1"/>
      <c r="AI2" s="3" t="s">
        <v>1</v>
      </c>
      <c r="AJ2" s="3" t="s">
        <v>31</v>
      </c>
      <c r="AK2" s="7" t="s">
        <v>2</v>
      </c>
      <c r="AL2" s="7" t="s">
        <v>34</v>
      </c>
      <c r="AM2" s="7" t="s">
        <v>36</v>
      </c>
      <c r="AN2" s="7"/>
      <c r="AO2" s="7"/>
      <c r="AP2" s="3"/>
      <c r="AQ2" s="3"/>
      <c r="AS2" s="1"/>
      <c r="AT2" s="3" t="s">
        <v>1</v>
      </c>
      <c r="AU2" s="3" t="s">
        <v>31</v>
      </c>
      <c r="AV2" s="7" t="s">
        <v>2</v>
      </c>
      <c r="AW2" s="7" t="s">
        <v>34</v>
      </c>
      <c r="AX2" s="7" t="s">
        <v>36</v>
      </c>
      <c r="AY2" s="7"/>
      <c r="AZ2" s="7"/>
      <c r="BA2" s="3"/>
      <c r="BB2" s="3"/>
      <c r="BD2" s="1"/>
      <c r="BE2" s="3" t="s">
        <v>1</v>
      </c>
      <c r="BF2" s="3" t="s">
        <v>31</v>
      </c>
      <c r="BG2" s="7" t="s">
        <v>2</v>
      </c>
      <c r="BH2" s="7" t="s">
        <v>34</v>
      </c>
      <c r="BI2" s="7" t="s">
        <v>36</v>
      </c>
      <c r="BJ2" s="7"/>
      <c r="BK2" s="7"/>
      <c r="BL2" s="3"/>
      <c r="BM2" s="3"/>
      <c r="BO2" s="1"/>
      <c r="BP2" s="3" t="s">
        <v>1</v>
      </c>
      <c r="BQ2" s="3" t="s">
        <v>31</v>
      </c>
      <c r="BR2" s="7" t="s">
        <v>2</v>
      </c>
      <c r="BS2" s="7" t="s">
        <v>34</v>
      </c>
      <c r="BT2" s="7" t="s">
        <v>36</v>
      </c>
      <c r="BU2" s="7"/>
      <c r="BV2" s="7"/>
      <c r="BW2" s="3"/>
      <c r="BX2" s="3"/>
      <c r="BZ2" s="1"/>
      <c r="CA2" s="3" t="s">
        <v>1</v>
      </c>
      <c r="CB2" s="3" t="s">
        <v>31</v>
      </c>
      <c r="CC2" s="7" t="s">
        <v>2</v>
      </c>
      <c r="CD2" s="7" t="s">
        <v>34</v>
      </c>
      <c r="CE2" s="7" t="s">
        <v>36</v>
      </c>
      <c r="CF2" s="7"/>
      <c r="CG2" s="7"/>
      <c r="CH2" s="3"/>
      <c r="CI2" s="3"/>
      <c r="CK2" s="1"/>
      <c r="CL2" s="3" t="s">
        <v>1</v>
      </c>
      <c r="CM2" s="3" t="s">
        <v>31</v>
      </c>
      <c r="CN2" s="7" t="s">
        <v>2</v>
      </c>
      <c r="CO2" s="7" t="s">
        <v>34</v>
      </c>
      <c r="CP2" s="7" t="s">
        <v>36</v>
      </c>
      <c r="CQ2" s="7"/>
      <c r="CR2" s="7"/>
      <c r="CS2" s="3"/>
      <c r="CT2" s="3"/>
    </row>
    <row r="3" spans="1:98" ht="19.5" x14ac:dyDescent="0.35">
      <c r="A3" s="2" t="s">
        <v>0</v>
      </c>
      <c r="B3" s="3" t="s">
        <v>30</v>
      </c>
      <c r="C3" s="3" t="s">
        <v>32</v>
      </c>
      <c r="D3" s="7" t="s">
        <v>33</v>
      </c>
      <c r="E3" s="7" t="s">
        <v>35</v>
      </c>
      <c r="F3" s="7" t="s">
        <v>37</v>
      </c>
      <c r="G3" s="7" t="s">
        <v>38</v>
      </c>
      <c r="H3" s="7" t="s">
        <v>14</v>
      </c>
      <c r="I3" s="3" t="s">
        <v>39</v>
      </c>
      <c r="J3" s="3" t="s">
        <v>40</v>
      </c>
      <c r="L3" s="2" t="s">
        <v>0</v>
      </c>
      <c r="M3" s="3" t="s">
        <v>30</v>
      </c>
      <c r="N3" s="3" t="s">
        <v>32</v>
      </c>
      <c r="O3" s="7" t="s">
        <v>33</v>
      </c>
      <c r="P3" s="7" t="s">
        <v>35</v>
      </c>
      <c r="Q3" s="7" t="s">
        <v>37</v>
      </c>
      <c r="R3" s="7" t="s">
        <v>38</v>
      </c>
      <c r="S3" s="7" t="s">
        <v>14</v>
      </c>
      <c r="T3" s="3" t="s">
        <v>39</v>
      </c>
      <c r="U3" s="3" t="s">
        <v>40</v>
      </c>
      <c r="W3" s="2" t="s">
        <v>0</v>
      </c>
      <c r="X3" s="3" t="s">
        <v>30</v>
      </c>
      <c r="Y3" s="3" t="s">
        <v>32</v>
      </c>
      <c r="Z3" s="7" t="s">
        <v>33</v>
      </c>
      <c r="AA3" s="7" t="s">
        <v>35</v>
      </c>
      <c r="AB3" s="7" t="s">
        <v>37</v>
      </c>
      <c r="AC3" s="7" t="s">
        <v>38</v>
      </c>
      <c r="AD3" s="7" t="s">
        <v>14</v>
      </c>
      <c r="AE3" s="3" t="s">
        <v>39</v>
      </c>
      <c r="AF3" s="3" t="s">
        <v>40</v>
      </c>
      <c r="AH3" s="2" t="s">
        <v>0</v>
      </c>
      <c r="AI3" s="3" t="s">
        <v>30</v>
      </c>
      <c r="AJ3" s="3" t="s">
        <v>32</v>
      </c>
      <c r="AK3" s="7" t="s">
        <v>33</v>
      </c>
      <c r="AL3" s="7" t="s">
        <v>35</v>
      </c>
      <c r="AM3" s="7" t="s">
        <v>37</v>
      </c>
      <c r="AN3" s="7" t="s">
        <v>38</v>
      </c>
      <c r="AO3" s="7" t="s">
        <v>14</v>
      </c>
      <c r="AP3" s="3" t="s">
        <v>39</v>
      </c>
      <c r="AQ3" s="3" t="s">
        <v>40</v>
      </c>
      <c r="AS3" s="2" t="s">
        <v>0</v>
      </c>
      <c r="AT3" s="3" t="s">
        <v>30</v>
      </c>
      <c r="AU3" s="3" t="s">
        <v>32</v>
      </c>
      <c r="AV3" s="7" t="s">
        <v>33</v>
      </c>
      <c r="AW3" s="7" t="s">
        <v>35</v>
      </c>
      <c r="AX3" s="7" t="s">
        <v>37</v>
      </c>
      <c r="AY3" s="7" t="s">
        <v>38</v>
      </c>
      <c r="AZ3" s="7" t="s">
        <v>14</v>
      </c>
      <c r="BA3" s="3" t="s">
        <v>39</v>
      </c>
      <c r="BB3" s="3" t="s">
        <v>40</v>
      </c>
      <c r="BD3" s="2" t="s">
        <v>0</v>
      </c>
      <c r="BE3" s="3" t="s">
        <v>30</v>
      </c>
      <c r="BF3" s="3" t="s">
        <v>32</v>
      </c>
      <c r="BG3" s="7" t="s">
        <v>33</v>
      </c>
      <c r="BH3" s="7" t="s">
        <v>35</v>
      </c>
      <c r="BI3" s="7" t="s">
        <v>37</v>
      </c>
      <c r="BJ3" s="7" t="s">
        <v>38</v>
      </c>
      <c r="BK3" s="7" t="s">
        <v>14</v>
      </c>
      <c r="BL3" s="3" t="s">
        <v>39</v>
      </c>
      <c r="BM3" s="3" t="s">
        <v>40</v>
      </c>
      <c r="BO3" s="2" t="s">
        <v>0</v>
      </c>
      <c r="BP3" s="3" t="s">
        <v>30</v>
      </c>
      <c r="BQ3" s="3" t="s">
        <v>32</v>
      </c>
      <c r="BR3" s="7" t="s">
        <v>33</v>
      </c>
      <c r="BS3" s="7" t="s">
        <v>35</v>
      </c>
      <c r="BT3" s="7" t="s">
        <v>37</v>
      </c>
      <c r="BU3" s="7" t="s">
        <v>38</v>
      </c>
      <c r="BV3" s="7" t="s">
        <v>14</v>
      </c>
      <c r="BW3" s="3" t="s">
        <v>39</v>
      </c>
      <c r="BX3" s="3" t="s">
        <v>40</v>
      </c>
      <c r="BZ3" s="2" t="s">
        <v>0</v>
      </c>
      <c r="CA3" s="3" t="s">
        <v>30</v>
      </c>
      <c r="CB3" s="3" t="s">
        <v>32</v>
      </c>
      <c r="CC3" s="7" t="s">
        <v>33</v>
      </c>
      <c r="CD3" s="7" t="s">
        <v>35</v>
      </c>
      <c r="CE3" s="7" t="s">
        <v>37</v>
      </c>
      <c r="CF3" s="7" t="s">
        <v>38</v>
      </c>
      <c r="CG3" s="7" t="s">
        <v>14</v>
      </c>
      <c r="CH3" s="3" t="s">
        <v>39</v>
      </c>
      <c r="CI3" s="3" t="s">
        <v>40</v>
      </c>
      <c r="CK3" s="2" t="s">
        <v>0</v>
      </c>
      <c r="CL3" s="3" t="s">
        <v>30</v>
      </c>
      <c r="CM3" s="3" t="s">
        <v>32</v>
      </c>
      <c r="CN3" s="7" t="s">
        <v>33</v>
      </c>
      <c r="CO3" s="7" t="s">
        <v>35</v>
      </c>
      <c r="CP3" s="7" t="s">
        <v>37</v>
      </c>
      <c r="CQ3" s="7" t="s">
        <v>38</v>
      </c>
      <c r="CR3" s="7" t="s">
        <v>14</v>
      </c>
      <c r="CS3" s="3" t="s">
        <v>39</v>
      </c>
      <c r="CT3" s="3" t="s">
        <v>40</v>
      </c>
    </row>
    <row r="4" spans="1:98" x14ac:dyDescent="0.35">
      <c r="A4" s="1">
        <v>1</v>
      </c>
      <c r="B4" s="1" t="s">
        <v>25</v>
      </c>
      <c r="C4" s="1" t="s">
        <v>26</v>
      </c>
      <c r="D4" s="1" t="s">
        <v>12</v>
      </c>
      <c r="E4" s="1" t="s">
        <v>116</v>
      </c>
      <c r="F4" s="1" t="s">
        <v>117</v>
      </c>
      <c r="G4" s="1"/>
      <c r="H4" s="1"/>
      <c r="I4" s="1"/>
      <c r="J4" s="1"/>
      <c r="L4" s="1">
        <v>1</v>
      </c>
      <c r="M4" s="1" t="s">
        <v>25</v>
      </c>
      <c r="N4" s="1" t="s">
        <v>26</v>
      </c>
      <c r="O4" s="1" t="s">
        <v>12</v>
      </c>
      <c r="P4" s="1" t="s">
        <v>116</v>
      </c>
      <c r="Q4" s="1" t="s">
        <v>117</v>
      </c>
      <c r="R4" s="1"/>
      <c r="S4" s="1"/>
      <c r="T4" s="1"/>
      <c r="U4" s="1"/>
      <c r="W4" s="1">
        <v>1</v>
      </c>
      <c r="X4" s="1" t="s">
        <v>25</v>
      </c>
      <c r="Y4" s="1" t="s">
        <v>26</v>
      </c>
      <c r="Z4" s="1" t="s">
        <v>12</v>
      </c>
      <c r="AA4" s="1" t="s">
        <v>116</v>
      </c>
      <c r="AB4" s="1" t="s">
        <v>117</v>
      </c>
      <c r="AC4" s="1"/>
      <c r="AD4" s="1"/>
      <c r="AE4" s="1"/>
      <c r="AF4" s="1"/>
      <c r="AH4" s="1">
        <v>1</v>
      </c>
      <c r="AI4" s="1" t="s">
        <v>25</v>
      </c>
      <c r="AJ4" s="1" t="s">
        <v>26</v>
      </c>
      <c r="AK4" s="1" t="s">
        <v>12</v>
      </c>
      <c r="AL4" s="1" t="s">
        <v>116</v>
      </c>
      <c r="AM4" s="1" t="s">
        <v>117</v>
      </c>
      <c r="AN4" s="1"/>
      <c r="AO4" s="1"/>
      <c r="AP4" s="1"/>
      <c r="AQ4" s="1"/>
      <c r="AS4" s="1">
        <v>1</v>
      </c>
      <c r="AT4" s="1" t="s">
        <v>25</v>
      </c>
      <c r="AU4" s="1" t="s">
        <v>26</v>
      </c>
      <c r="AV4" s="1" t="s">
        <v>12</v>
      </c>
      <c r="AW4" s="1" t="s">
        <v>116</v>
      </c>
      <c r="AX4" s="1" t="s">
        <v>117</v>
      </c>
      <c r="AY4" s="1"/>
      <c r="AZ4" s="1"/>
      <c r="BA4" s="1"/>
      <c r="BB4" s="1"/>
      <c r="BD4" s="1">
        <v>1</v>
      </c>
      <c r="BE4" s="1" t="s">
        <v>25</v>
      </c>
      <c r="BF4" s="1" t="s">
        <v>26</v>
      </c>
      <c r="BG4" s="1" t="s">
        <v>12</v>
      </c>
      <c r="BH4" s="1" t="s">
        <v>116</v>
      </c>
      <c r="BI4" s="1" t="s">
        <v>117</v>
      </c>
      <c r="BJ4" s="1"/>
      <c r="BK4" s="1"/>
      <c r="BL4" s="1"/>
      <c r="BM4" s="1"/>
      <c r="BO4" s="1">
        <v>1</v>
      </c>
      <c r="BP4" s="1" t="s">
        <v>25</v>
      </c>
      <c r="BQ4" s="1" t="s">
        <v>26</v>
      </c>
      <c r="BR4" s="1" t="s">
        <v>12</v>
      </c>
      <c r="BS4" s="1" t="s">
        <v>116</v>
      </c>
      <c r="BT4" s="1" t="s">
        <v>120</v>
      </c>
      <c r="BU4" s="1"/>
      <c r="BV4" s="1"/>
      <c r="BW4" s="1"/>
      <c r="BX4" s="1"/>
      <c r="BZ4" s="1">
        <v>1</v>
      </c>
      <c r="CA4" s="1" t="s">
        <v>25</v>
      </c>
      <c r="CB4" s="1" t="s">
        <v>118</v>
      </c>
      <c r="CC4" s="1" t="s">
        <v>12</v>
      </c>
      <c r="CD4" s="1" t="s">
        <v>116</v>
      </c>
      <c r="CE4" s="1" t="s">
        <v>117</v>
      </c>
      <c r="CF4" s="1"/>
      <c r="CG4" s="1"/>
      <c r="CH4" s="1"/>
      <c r="CI4" s="1"/>
      <c r="CK4" s="1">
        <v>1</v>
      </c>
      <c r="CL4" s="1" t="s">
        <v>25</v>
      </c>
      <c r="CM4" s="1" t="s">
        <v>118</v>
      </c>
      <c r="CN4" s="1" t="s">
        <v>12</v>
      </c>
      <c r="CO4" s="1" t="s">
        <v>116</v>
      </c>
      <c r="CP4" s="1" t="s">
        <v>117</v>
      </c>
      <c r="CQ4" s="1"/>
      <c r="CR4" s="1"/>
      <c r="CS4" s="1"/>
      <c r="CT4" s="1"/>
    </row>
    <row r="5" spans="1:98" x14ac:dyDescent="0.35">
      <c r="A5" s="1">
        <v>2</v>
      </c>
      <c r="B5" s="1" t="s">
        <v>25</v>
      </c>
      <c r="C5" s="1" t="s">
        <v>26</v>
      </c>
      <c r="D5" s="1" t="s">
        <v>12</v>
      </c>
      <c r="E5" s="1" t="s">
        <v>27</v>
      </c>
      <c r="F5" s="1" t="s">
        <v>104</v>
      </c>
      <c r="G5" s="1"/>
      <c r="H5" s="1"/>
      <c r="I5" s="1"/>
      <c r="J5" s="1"/>
      <c r="L5" s="1">
        <v>2</v>
      </c>
      <c r="M5" s="1" t="s">
        <v>25</v>
      </c>
      <c r="N5" s="1" t="s">
        <v>26</v>
      </c>
      <c r="O5" s="1" t="s">
        <v>12</v>
      </c>
      <c r="P5" s="1" t="s">
        <v>27</v>
      </c>
      <c r="Q5" s="1" t="s">
        <v>104</v>
      </c>
      <c r="R5" s="1"/>
      <c r="S5" s="1"/>
      <c r="T5" s="1"/>
      <c r="U5" s="1"/>
      <c r="W5" s="1">
        <v>2</v>
      </c>
      <c r="X5" s="1" t="s">
        <v>115</v>
      </c>
      <c r="Y5" s="1" t="s">
        <v>26</v>
      </c>
      <c r="Z5" s="1" t="s">
        <v>12</v>
      </c>
      <c r="AA5" s="1" t="s">
        <v>27</v>
      </c>
      <c r="AB5" s="1" t="s">
        <v>104</v>
      </c>
      <c r="AC5" s="1"/>
      <c r="AD5" s="1"/>
      <c r="AE5" s="1">
        <v>2</v>
      </c>
      <c r="AF5" s="1"/>
      <c r="AH5" s="1">
        <v>2</v>
      </c>
      <c r="AI5" s="1" t="s">
        <v>25</v>
      </c>
      <c r="AJ5" s="1" t="s">
        <v>26</v>
      </c>
      <c r="AK5" s="1" t="s">
        <v>12</v>
      </c>
      <c r="AL5" s="1" t="s">
        <v>27</v>
      </c>
      <c r="AM5" s="1" t="s">
        <v>104</v>
      </c>
      <c r="AN5" s="1"/>
      <c r="AO5" s="1"/>
      <c r="AP5" s="1">
        <v>2</v>
      </c>
      <c r="AQ5" s="1"/>
      <c r="AS5" s="1">
        <v>2</v>
      </c>
      <c r="AT5" s="1" t="s">
        <v>25</v>
      </c>
      <c r="AU5" s="1" t="s">
        <v>26</v>
      </c>
      <c r="AV5" s="1" t="s">
        <v>12</v>
      </c>
      <c r="AW5" s="1" t="s">
        <v>27</v>
      </c>
      <c r="AX5" s="1" t="s">
        <v>104</v>
      </c>
      <c r="AY5" s="1"/>
      <c r="AZ5" s="1"/>
      <c r="BA5" s="1"/>
      <c r="BB5" s="1"/>
      <c r="BD5" s="1">
        <v>2</v>
      </c>
      <c r="BE5" s="1" t="s">
        <v>115</v>
      </c>
      <c r="BF5" s="1" t="s">
        <v>118</v>
      </c>
      <c r="BG5" s="1" t="s">
        <v>12</v>
      </c>
      <c r="BH5" s="1" t="s">
        <v>27</v>
      </c>
      <c r="BI5" s="1" t="s">
        <v>104</v>
      </c>
      <c r="BJ5" s="1" t="s">
        <v>106</v>
      </c>
      <c r="BK5" s="1"/>
      <c r="BL5" s="1">
        <v>2</v>
      </c>
      <c r="BM5" s="1"/>
      <c r="BO5" s="1">
        <v>2</v>
      </c>
      <c r="BP5" s="1" t="s">
        <v>25</v>
      </c>
      <c r="BQ5" s="1" t="s">
        <v>26</v>
      </c>
      <c r="BR5" s="1" t="s">
        <v>12</v>
      </c>
      <c r="BS5" s="1" t="s">
        <v>27</v>
      </c>
      <c r="BT5" s="1" t="s">
        <v>104</v>
      </c>
      <c r="BU5" s="1" t="s">
        <v>106</v>
      </c>
      <c r="BV5" s="1"/>
      <c r="BW5" s="1">
        <v>2</v>
      </c>
      <c r="BX5" s="1"/>
      <c r="BZ5" s="1">
        <v>2</v>
      </c>
      <c r="CA5" s="1" t="s">
        <v>25</v>
      </c>
      <c r="CB5" s="1" t="s">
        <v>118</v>
      </c>
      <c r="CC5" s="1" t="s">
        <v>12</v>
      </c>
      <c r="CD5" s="1" t="s">
        <v>27</v>
      </c>
      <c r="CE5" s="1" t="s">
        <v>104</v>
      </c>
      <c r="CF5" s="1"/>
      <c r="CG5" s="1">
        <v>2</v>
      </c>
      <c r="CH5" s="1"/>
      <c r="CI5" s="1"/>
      <c r="CK5" s="1">
        <v>2</v>
      </c>
      <c r="CL5" s="1" t="s">
        <v>25</v>
      </c>
      <c r="CM5" s="1" t="s">
        <v>118</v>
      </c>
      <c r="CN5" s="1" t="s">
        <v>12</v>
      </c>
      <c r="CO5" s="1" t="s">
        <v>27</v>
      </c>
      <c r="CP5" s="1" t="s">
        <v>104</v>
      </c>
      <c r="CQ5" s="1" t="s">
        <v>106</v>
      </c>
      <c r="CR5" s="1"/>
      <c r="CS5" s="1">
        <v>2</v>
      </c>
      <c r="CT5" s="1"/>
    </row>
    <row r="6" spans="1:98" x14ac:dyDescent="0.35">
      <c r="A6" s="1">
        <v>3</v>
      </c>
      <c r="B6" s="1" t="s">
        <v>115</v>
      </c>
      <c r="C6" s="1" t="s">
        <v>26</v>
      </c>
      <c r="D6" s="1" t="s">
        <v>12</v>
      </c>
      <c r="E6" s="1" t="s">
        <v>27</v>
      </c>
      <c r="F6" s="1" t="s">
        <v>104</v>
      </c>
      <c r="G6" s="1"/>
      <c r="H6" s="1"/>
      <c r="I6" s="1"/>
      <c r="J6" s="1"/>
      <c r="L6" s="1">
        <v>3</v>
      </c>
      <c r="M6" s="1" t="s">
        <v>115</v>
      </c>
      <c r="N6" s="1" t="s">
        <v>26</v>
      </c>
      <c r="O6" s="1" t="s">
        <v>12</v>
      </c>
      <c r="P6" s="1" t="s">
        <v>27</v>
      </c>
      <c r="Q6" s="1" t="s">
        <v>104</v>
      </c>
      <c r="R6" s="1"/>
      <c r="S6" s="1"/>
      <c r="T6" s="1"/>
      <c r="U6" s="1"/>
      <c r="W6" s="1">
        <v>3</v>
      </c>
      <c r="X6" s="1" t="s">
        <v>115</v>
      </c>
      <c r="Y6" s="1" t="s">
        <v>26</v>
      </c>
      <c r="Z6" s="1" t="s">
        <v>12</v>
      </c>
      <c r="AA6" s="1" t="s">
        <v>27</v>
      </c>
      <c r="AB6" s="1" t="s">
        <v>104</v>
      </c>
      <c r="AC6" s="1"/>
      <c r="AD6" s="1"/>
      <c r="AE6" s="1"/>
      <c r="AF6" s="1"/>
      <c r="AH6" s="1">
        <v>3</v>
      </c>
      <c r="AI6" s="1" t="s">
        <v>115</v>
      </c>
      <c r="AJ6" s="1" t="s">
        <v>26</v>
      </c>
      <c r="AK6" s="1" t="s">
        <v>12</v>
      </c>
      <c r="AL6" s="1" t="s">
        <v>27</v>
      </c>
      <c r="AM6" s="1" t="s">
        <v>104</v>
      </c>
      <c r="AN6" s="1"/>
      <c r="AO6" s="1"/>
      <c r="AQ6" s="1"/>
      <c r="AS6" s="1">
        <v>3</v>
      </c>
      <c r="AT6" s="1" t="s">
        <v>115</v>
      </c>
      <c r="AU6" s="1" t="s">
        <v>26</v>
      </c>
      <c r="AV6" s="1" t="s">
        <v>12</v>
      </c>
      <c r="AW6" s="1" t="s">
        <v>27</v>
      </c>
      <c r="AX6" s="1" t="s">
        <v>104</v>
      </c>
      <c r="AY6" s="1"/>
      <c r="AZ6" s="1"/>
      <c r="BB6" s="1"/>
      <c r="BD6" s="1">
        <v>3</v>
      </c>
      <c r="BE6" s="1" t="s">
        <v>25</v>
      </c>
      <c r="BF6" s="1" t="s">
        <v>118</v>
      </c>
      <c r="BG6" s="1" t="s">
        <v>12</v>
      </c>
      <c r="BH6" s="1" t="s">
        <v>27</v>
      </c>
      <c r="BI6" s="1" t="s">
        <v>104</v>
      </c>
      <c r="BJ6" s="1"/>
      <c r="BK6" s="1"/>
      <c r="BM6" s="1"/>
      <c r="BO6" s="1">
        <v>3</v>
      </c>
      <c r="BP6" s="1" t="s">
        <v>115</v>
      </c>
      <c r="BQ6" s="1" t="s">
        <v>26</v>
      </c>
      <c r="BR6" s="1" t="s">
        <v>12</v>
      </c>
      <c r="BS6" s="1" t="s">
        <v>27</v>
      </c>
      <c r="BT6" s="1" t="s">
        <v>104</v>
      </c>
      <c r="BU6" s="1" t="s">
        <v>106</v>
      </c>
      <c r="BV6" s="1"/>
      <c r="BX6" s="1"/>
      <c r="BZ6" s="1">
        <v>3</v>
      </c>
      <c r="CA6" s="1" t="s">
        <v>115</v>
      </c>
      <c r="CB6" s="1" t="s">
        <v>118</v>
      </c>
      <c r="CC6" s="1" t="s">
        <v>12</v>
      </c>
      <c r="CD6" s="1" t="s">
        <v>27</v>
      </c>
      <c r="CE6" s="1" t="s">
        <v>104</v>
      </c>
      <c r="CF6" s="1"/>
      <c r="CI6" s="1"/>
      <c r="CK6" s="1">
        <v>3</v>
      </c>
      <c r="CL6" s="1" t="s">
        <v>115</v>
      </c>
      <c r="CM6" s="1" t="s">
        <v>118</v>
      </c>
      <c r="CN6" s="1" t="s">
        <v>12</v>
      </c>
      <c r="CO6" s="1" t="s">
        <v>27</v>
      </c>
      <c r="CP6" s="1" t="s">
        <v>104</v>
      </c>
      <c r="CQ6" s="1" t="s">
        <v>106</v>
      </c>
      <c r="CR6" s="1"/>
      <c r="CT6" s="1"/>
    </row>
    <row r="7" spans="1:98" x14ac:dyDescent="0.35">
      <c r="A7" s="1">
        <v>4</v>
      </c>
      <c r="B7" s="1" t="s">
        <v>25</v>
      </c>
      <c r="C7" s="1" t="s">
        <v>26</v>
      </c>
      <c r="D7" s="1" t="s">
        <v>92</v>
      </c>
      <c r="E7" s="1" t="s">
        <v>27</v>
      </c>
      <c r="F7" s="1" t="s">
        <v>104</v>
      </c>
      <c r="G7" s="1"/>
      <c r="H7" s="1"/>
      <c r="I7" s="1">
        <v>2</v>
      </c>
      <c r="J7" s="1"/>
      <c r="L7" s="1">
        <v>4</v>
      </c>
      <c r="M7" s="1" t="s">
        <v>25</v>
      </c>
      <c r="N7" s="1" t="s">
        <v>26</v>
      </c>
      <c r="O7" s="1" t="s">
        <v>92</v>
      </c>
      <c r="P7" s="1" t="s">
        <v>27</v>
      </c>
      <c r="Q7" s="1" t="s">
        <v>104</v>
      </c>
      <c r="R7" s="1"/>
      <c r="S7" s="1"/>
      <c r="T7" s="1"/>
      <c r="U7" s="1"/>
      <c r="W7" s="1">
        <v>4</v>
      </c>
      <c r="X7" s="1" t="s">
        <v>25</v>
      </c>
      <c r="Y7" s="1" t="s">
        <v>26</v>
      </c>
      <c r="Z7" s="1" t="s">
        <v>12</v>
      </c>
      <c r="AA7" s="1" t="s">
        <v>27</v>
      </c>
      <c r="AB7" s="1" t="s">
        <v>104</v>
      </c>
      <c r="AC7" s="1"/>
      <c r="AD7" s="1"/>
      <c r="AE7" s="1"/>
      <c r="AF7" s="1"/>
      <c r="AH7" s="1">
        <v>4</v>
      </c>
      <c r="AI7" s="1" t="s">
        <v>25</v>
      </c>
      <c r="AJ7" s="1" t="s">
        <v>26</v>
      </c>
      <c r="AK7" s="1" t="s">
        <v>92</v>
      </c>
      <c r="AL7" s="1" t="s">
        <v>27</v>
      </c>
      <c r="AM7" s="1" t="s">
        <v>104</v>
      </c>
      <c r="AN7" s="1"/>
      <c r="AO7" s="1"/>
      <c r="AP7" s="1"/>
      <c r="AQ7" s="1"/>
      <c r="AS7" s="1">
        <v>4</v>
      </c>
      <c r="AT7" s="1" t="s">
        <v>25</v>
      </c>
      <c r="AU7" s="1" t="s">
        <v>26</v>
      </c>
      <c r="AV7" s="1" t="s">
        <v>92</v>
      </c>
      <c r="AW7" s="1" t="s">
        <v>27</v>
      </c>
      <c r="AX7" s="1" t="s">
        <v>104</v>
      </c>
      <c r="AY7" s="1"/>
      <c r="AZ7" s="1"/>
      <c r="BA7" s="1"/>
      <c r="BB7" s="1"/>
      <c r="BD7" s="1">
        <v>4</v>
      </c>
      <c r="BE7" s="1" t="s">
        <v>25</v>
      </c>
      <c r="BF7" s="1" t="s">
        <v>26</v>
      </c>
      <c r="BG7" s="1" t="s">
        <v>92</v>
      </c>
      <c r="BH7" s="1" t="s">
        <v>27</v>
      </c>
      <c r="BI7" s="1" t="s">
        <v>104</v>
      </c>
      <c r="BJ7" s="1"/>
      <c r="BK7" s="1"/>
      <c r="BL7" s="1">
        <v>2</v>
      </c>
      <c r="BM7" s="1"/>
      <c r="BO7" s="1">
        <v>4</v>
      </c>
      <c r="BP7" s="1" t="s">
        <v>25</v>
      </c>
      <c r="BQ7" s="1" t="s">
        <v>26</v>
      </c>
      <c r="BR7" s="15" t="s">
        <v>92</v>
      </c>
      <c r="BS7" s="1" t="s">
        <v>27</v>
      </c>
      <c r="BT7" s="1" t="s">
        <v>104</v>
      </c>
      <c r="BU7" s="1"/>
      <c r="BV7" s="1"/>
      <c r="BW7" s="1"/>
      <c r="BX7" s="1"/>
      <c r="BZ7" s="1">
        <v>4</v>
      </c>
      <c r="CA7" s="1" t="s">
        <v>25</v>
      </c>
      <c r="CB7" s="1" t="s">
        <v>26</v>
      </c>
      <c r="CC7" s="15" t="s">
        <v>92</v>
      </c>
      <c r="CD7" s="1" t="s">
        <v>27</v>
      </c>
      <c r="CE7" s="1" t="s">
        <v>104</v>
      </c>
      <c r="CF7" s="1"/>
      <c r="CG7" s="1"/>
      <c r="CH7" s="1"/>
      <c r="CI7" s="1"/>
      <c r="CK7" s="1">
        <v>4</v>
      </c>
      <c r="CL7" s="1" t="s">
        <v>25</v>
      </c>
      <c r="CM7" s="1" t="s">
        <v>26</v>
      </c>
      <c r="CN7" s="15" t="s">
        <v>92</v>
      </c>
      <c r="CO7" s="1" t="s">
        <v>27</v>
      </c>
      <c r="CP7" s="1" t="s">
        <v>104</v>
      </c>
      <c r="CQ7" s="1"/>
      <c r="CR7" s="1"/>
      <c r="CS7" s="1"/>
      <c r="CT7" s="1"/>
    </row>
    <row r="8" spans="1:98" x14ac:dyDescent="0.35">
      <c r="A8" s="1">
        <v>5</v>
      </c>
      <c r="B8" s="1" t="s">
        <v>25</v>
      </c>
      <c r="C8" s="1" t="s">
        <v>26</v>
      </c>
      <c r="D8" s="1" t="s">
        <v>92</v>
      </c>
      <c r="E8" s="1" t="s">
        <v>27</v>
      </c>
      <c r="F8" s="1" t="s">
        <v>104</v>
      </c>
      <c r="G8" s="1"/>
      <c r="H8" s="1"/>
      <c r="I8" s="1"/>
      <c r="J8" s="1"/>
      <c r="L8" s="1">
        <v>5</v>
      </c>
      <c r="M8" s="1" t="s">
        <v>25</v>
      </c>
      <c r="N8" s="1" t="s">
        <v>26</v>
      </c>
      <c r="O8" s="1" t="s">
        <v>92</v>
      </c>
      <c r="P8" s="1" t="s">
        <v>27</v>
      </c>
      <c r="Q8" s="1" t="s">
        <v>104</v>
      </c>
      <c r="R8" s="1"/>
      <c r="S8" s="1"/>
      <c r="T8" s="1"/>
      <c r="U8" s="1"/>
      <c r="W8" s="1">
        <v>5</v>
      </c>
      <c r="X8" s="1" t="s">
        <v>25</v>
      </c>
      <c r="Y8" s="1" t="s">
        <v>26</v>
      </c>
      <c r="Z8" s="1" t="s">
        <v>92</v>
      </c>
      <c r="AA8" s="1" t="s">
        <v>27</v>
      </c>
      <c r="AB8" s="1" t="s">
        <v>104</v>
      </c>
      <c r="AC8" s="1"/>
      <c r="AD8" s="1"/>
      <c r="AE8" s="1"/>
      <c r="AF8" s="1"/>
      <c r="AH8" s="1">
        <v>5</v>
      </c>
      <c r="AI8" s="1" t="s">
        <v>25</v>
      </c>
      <c r="AJ8" s="1" t="s">
        <v>26</v>
      </c>
      <c r="AK8" s="1" t="s">
        <v>92</v>
      </c>
      <c r="AL8" s="1" t="s">
        <v>27</v>
      </c>
      <c r="AM8" s="1" t="s">
        <v>104</v>
      </c>
      <c r="AN8" s="1"/>
      <c r="AO8" s="1"/>
      <c r="AP8" s="1"/>
      <c r="AQ8" s="1"/>
      <c r="AS8" s="1">
        <v>5</v>
      </c>
      <c r="AT8" s="1" t="s">
        <v>25</v>
      </c>
      <c r="AU8" s="1" t="s">
        <v>26</v>
      </c>
      <c r="AV8" s="1" t="s">
        <v>92</v>
      </c>
      <c r="AW8" s="1" t="s">
        <v>27</v>
      </c>
      <c r="AX8" s="1" t="s">
        <v>104</v>
      </c>
      <c r="AY8" s="1"/>
      <c r="AZ8" s="1"/>
      <c r="BA8" s="1"/>
      <c r="BB8" s="1"/>
      <c r="BD8" s="1">
        <v>5</v>
      </c>
      <c r="BE8" s="1" t="s">
        <v>115</v>
      </c>
      <c r="BF8" s="1" t="s">
        <v>26</v>
      </c>
      <c r="BG8" s="1" t="s">
        <v>92</v>
      </c>
      <c r="BH8" s="1" t="s">
        <v>27</v>
      </c>
      <c r="BI8" s="1" t="s">
        <v>104</v>
      </c>
      <c r="BJ8" s="1"/>
      <c r="BK8" s="1"/>
      <c r="BL8" s="1"/>
      <c r="BM8" s="1"/>
      <c r="BO8" s="1">
        <v>5</v>
      </c>
      <c r="BP8" s="1" t="s">
        <v>25</v>
      </c>
      <c r="BQ8" s="1" t="s">
        <v>26</v>
      </c>
      <c r="BR8" s="1" t="s">
        <v>92</v>
      </c>
      <c r="BS8" s="1" t="s">
        <v>27</v>
      </c>
      <c r="BT8" s="1" t="s">
        <v>104</v>
      </c>
      <c r="BU8" s="1"/>
      <c r="BV8" s="1"/>
      <c r="BW8" s="1"/>
      <c r="BX8" s="1"/>
      <c r="BZ8" s="1">
        <v>5</v>
      </c>
      <c r="CA8" s="1" t="s">
        <v>25</v>
      </c>
      <c r="CB8" s="1" t="s">
        <v>26</v>
      </c>
      <c r="CC8" s="1" t="s">
        <v>92</v>
      </c>
      <c r="CD8" s="1" t="s">
        <v>27</v>
      </c>
      <c r="CE8" s="1" t="s">
        <v>104</v>
      </c>
      <c r="CF8" s="1"/>
      <c r="CG8" s="1"/>
      <c r="CH8" s="1"/>
      <c r="CI8" s="1"/>
      <c r="CK8" s="1">
        <v>5</v>
      </c>
      <c r="CL8" s="1" t="s">
        <v>25</v>
      </c>
      <c r="CM8" s="1" t="s">
        <v>26</v>
      </c>
      <c r="CN8" s="1" t="s">
        <v>92</v>
      </c>
      <c r="CO8" s="1" t="s">
        <v>27</v>
      </c>
      <c r="CP8" s="1" t="s">
        <v>104</v>
      </c>
      <c r="CQ8" s="1"/>
      <c r="CR8" s="1"/>
      <c r="CS8" s="1"/>
      <c r="CT8" s="1"/>
    </row>
    <row r="9" spans="1:98" x14ac:dyDescent="0.35">
      <c r="A9" s="1">
        <v>6</v>
      </c>
      <c r="B9" s="1" t="s">
        <v>115</v>
      </c>
      <c r="C9" s="1" t="s">
        <v>26</v>
      </c>
      <c r="D9" s="1" t="s">
        <v>92</v>
      </c>
      <c r="E9" s="1" t="s">
        <v>27</v>
      </c>
      <c r="F9" s="1" t="s">
        <v>104</v>
      </c>
      <c r="G9" s="1"/>
      <c r="H9" s="1"/>
      <c r="I9" s="1"/>
      <c r="J9" s="1"/>
      <c r="L9" s="1">
        <v>6</v>
      </c>
      <c r="M9" s="1" t="s">
        <v>115</v>
      </c>
      <c r="N9" s="1" t="s">
        <v>26</v>
      </c>
      <c r="O9" s="1" t="s">
        <v>92</v>
      </c>
      <c r="P9" s="1" t="s">
        <v>27</v>
      </c>
      <c r="Q9" s="1" t="s">
        <v>104</v>
      </c>
      <c r="R9" s="1"/>
      <c r="S9" s="1"/>
      <c r="T9" s="1"/>
      <c r="U9" s="1"/>
      <c r="W9" s="1">
        <v>6</v>
      </c>
      <c r="X9" s="1" t="s">
        <v>115</v>
      </c>
      <c r="Y9" s="1" t="s">
        <v>26</v>
      </c>
      <c r="Z9" s="1" t="s">
        <v>92</v>
      </c>
      <c r="AA9" s="1" t="s">
        <v>27</v>
      </c>
      <c r="AB9" s="1" t="s">
        <v>104</v>
      </c>
      <c r="AC9" s="1"/>
      <c r="AD9" s="1"/>
      <c r="AE9" s="1"/>
      <c r="AF9" s="1"/>
      <c r="AH9" s="1">
        <v>6</v>
      </c>
      <c r="AI9" s="1" t="s">
        <v>115</v>
      </c>
      <c r="AJ9" s="1" t="s">
        <v>26</v>
      </c>
      <c r="AK9" s="1" t="s">
        <v>92</v>
      </c>
      <c r="AL9" s="1" t="s">
        <v>27</v>
      </c>
      <c r="AM9" s="1" t="s">
        <v>104</v>
      </c>
      <c r="AN9" s="1"/>
      <c r="AO9" s="1"/>
      <c r="AP9" s="1"/>
      <c r="AQ9" s="1"/>
      <c r="AS9" s="1">
        <v>6</v>
      </c>
      <c r="AT9" s="1" t="s">
        <v>115</v>
      </c>
      <c r="AU9" s="1" t="s">
        <v>26</v>
      </c>
      <c r="AV9" s="1" t="s">
        <v>92</v>
      </c>
      <c r="AW9" s="1" t="s">
        <v>27</v>
      </c>
      <c r="AX9" s="1" t="s">
        <v>104</v>
      </c>
      <c r="AY9" s="1"/>
      <c r="AZ9" s="1"/>
      <c r="BA9" s="1"/>
      <c r="BB9" s="1"/>
      <c r="BD9" s="1">
        <v>6</v>
      </c>
      <c r="BM9" s="1"/>
      <c r="BO9" s="1">
        <v>6</v>
      </c>
      <c r="BP9" s="1" t="s">
        <v>115</v>
      </c>
      <c r="BQ9" s="1" t="s">
        <v>26</v>
      </c>
      <c r="BR9" s="1" t="s">
        <v>92</v>
      </c>
      <c r="BS9" s="1" t="s">
        <v>27</v>
      </c>
      <c r="BT9" s="1" t="s">
        <v>104</v>
      </c>
      <c r="BU9" s="1"/>
      <c r="BV9" s="1"/>
      <c r="BW9" s="1"/>
      <c r="BX9" s="1"/>
      <c r="BZ9" s="1">
        <v>6</v>
      </c>
      <c r="CA9" s="1" t="s">
        <v>115</v>
      </c>
      <c r="CB9" s="1" t="s">
        <v>26</v>
      </c>
      <c r="CC9" s="1" t="s">
        <v>92</v>
      </c>
      <c r="CD9" s="1" t="s">
        <v>27</v>
      </c>
      <c r="CE9" s="1" t="s">
        <v>104</v>
      </c>
      <c r="CF9" s="1"/>
      <c r="CG9" s="1"/>
      <c r="CH9" s="1"/>
      <c r="CI9" s="1"/>
      <c r="CK9" s="1">
        <v>6</v>
      </c>
      <c r="CL9" s="1" t="s">
        <v>115</v>
      </c>
      <c r="CM9" s="1" t="s">
        <v>26</v>
      </c>
      <c r="CN9" s="1" t="s">
        <v>92</v>
      </c>
      <c r="CO9" s="1" t="s">
        <v>27</v>
      </c>
      <c r="CP9" s="1" t="s">
        <v>104</v>
      </c>
      <c r="CQ9" s="1"/>
      <c r="CR9" s="1"/>
      <c r="CS9" s="1"/>
      <c r="CT9" s="1"/>
    </row>
    <row r="10" spans="1:98" x14ac:dyDescent="0.35">
      <c r="A10" s="1">
        <v>7</v>
      </c>
      <c r="B10" s="1" t="s">
        <v>25</v>
      </c>
      <c r="C10" s="1" t="s">
        <v>26</v>
      </c>
      <c r="D10" s="1" t="s">
        <v>12</v>
      </c>
      <c r="E10" s="1" t="s">
        <v>27</v>
      </c>
      <c r="F10" s="1" t="s">
        <v>104</v>
      </c>
      <c r="G10" s="1"/>
      <c r="H10" s="1"/>
      <c r="I10" s="1"/>
      <c r="J10" s="1"/>
      <c r="L10" s="1">
        <v>7</v>
      </c>
      <c r="M10" s="1" t="s">
        <v>115</v>
      </c>
      <c r="N10" s="1" t="s">
        <v>26</v>
      </c>
      <c r="O10" s="1" t="s">
        <v>12</v>
      </c>
      <c r="P10" s="1" t="s">
        <v>27</v>
      </c>
      <c r="Q10" s="1" t="s">
        <v>104</v>
      </c>
      <c r="R10" s="1"/>
      <c r="S10" s="1"/>
      <c r="T10" s="1">
        <v>2</v>
      </c>
      <c r="U10" s="1"/>
      <c r="W10" s="1">
        <v>7</v>
      </c>
      <c r="X10" s="1" t="s">
        <v>25</v>
      </c>
      <c r="Y10" s="1" t="s">
        <v>26</v>
      </c>
      <c r="Z10" s="1" t="s">
        <v>12</v>
      </c>
      <c r="AA10" s="1" t="s">
        <v>27</v>
      </c>
      <c r="AB10" s="1" t="s">
        <v>104</v>
      </c>
      <c r="AC10" s="1"/>
      <c r="AD10" s="1"/>
      <c r="AE10" s="1"/>
      <c r="AF10" s="1"/>
      <c r="AH10" s="1">
        <v>7</v>
      </c>
      <c r="AS10" s="1">
        <v>7</v>
      </c>
      <c r="AT10" s="1" t="s">
        <v>25</v>
      </c>
      <c r="AU10" s="1" t="s">
        <v>26</v>
      </c>
      <c r="AV10" s="1" t="s">
        <v>12</v>
      </c>
      <c r="AW10" s="1" t="s">
        <v>27</v>
      </c>
      <c r="AX10" s="1" t="s">
        <v>104</v>
      </c>
      <c r="AY10" s="1"/>
      <c r="AZ10" s="1"/>
      <c r="BA10" s="1">
        <v>2</v>
      </c>
      <c r="BB10" s="1"/>
      <c r="BD10" s="1">
        <v>7</v>
      </c>
      <c r="BE10" s="1" t="s">
        <v>25</v>
      </c>
      <c r="BF10" s="1" t="s">
        <v>26</v>
      </c>
      <c r="BG10" s="1" t="s">
        <v>12</v>
      </c>
      <c r="BH10" s="1" t="s">
        <v>27</v>
      </c>
      <c r="BI10" s="1" t="s">
        <v>104</v>
      </c>
      <c r="BJ10" s="1"/>
      <c r="BK10" s="1"/>
      <c r="BL10" s="1"/>
      <c r="BM10" s="1"/>
      <c r="BO10" s="1">
        <v>7</v>
      </c>
      <c r="BP10" s="1" t="s">
        <v>25</v>
      </c>
      <c r="BQ10" s="1" t="s">
        <v>26</v>
      </c>
      <c r="BR10" s="1" t="s">
        <v>12</v>
      </c>
      <c r="BS10" s="1" t="s">
        <v>27</v>
      </c>
      <c r="BT10" s="1" t="s">
        <v>104</v>
      </c>
      <c r="BU10" s="1"/>
      <c r="BV10" s="1"/>
      <c r="BW10" s="1"/>
      <c r="BX10" s="1"/>
      <c r="BZ10" s="1">
        <v>7</v>
      </c>
      <c r="CA10" s="1" t="s">
        <v>115</v>
      </c>
      <c r="CB10" s="1" t="s">
        <v>26</v>
      </c>
      <c r="CC10" s="1" t="s">
        <v>92</v>
      </c>
      <c r="CD10" s="1" t="s">
        <v>27</v>
      </c>
      <c r="CE10" s="1" t="s">
        <v>104</v>
      </c>
      <c r="CF10" s="1"/>
      <c r="CG10" s="1"/>
      <c r="CH10" s="1"/>
      <c r="CI10" s="1"/>
      <c r="CK10" s="1">
        <v>7</v>
      </c>
      <c r="CL10" s="1" t="s">
        <v>25</v>
      </c>
      <c r="CM10" s="1" t="s">
        <v>118</v>
      </c>
      <c r="CN10" s="1" t="s">
        <v>12</v>
      </c>
      <c r="CO10" s="1" t="s">
        <v>27</v>
      </c>
      <c r="CP10" s="1" t="s">
        <v>104</v>
      </c>
      <c r="CQ10" s="1"/>
      <c r="CR10" s="1"/>
      <c r="CS10" s="1"/>
      <c r="CT10" s="1"/>
    </row>
    <row r="11" spans="1:98" ht="15.5" customHeight="1" x14ac:dyDescent="0.35">
      <c r="A11" s="1">
        <v>8</v>
      </c>
      <c r="B11" s="1" t="s">
        <v>115</v>
      </c>
      <c r="C11" s="1" t="s">
        <v>26</v>
      </c>
      <c r="D11" s="1" t="s">
        <v>92</v>
      </c>
      <c r="E11" s="1" t="s">
        <v>27</v>
      </c>
      <c r="F11" s="1" t="s">
        <v>104</v>
      </c>
      <c r="G11" s="1"/>
      <c r="H11" s="1"/>
      <c r="I11" s="1"/>
      <c r="J11" s="1"/>
      <c r="L11" s="1">
        <v>8</v>
      </c>
      <c r="M11" s="1" t="s">
        <v>25</v>
      </c>
      <c r="N11" s="1" t="s">
        <v>26</v>
      </c>
      <c r="O11" s="1" t="s">
        <v>92</v>
      </c>
      <c r="P11" s="1" t="s">
        <v>27</v>
      </c>
      <c r="Q11" s="1" t="s">
        <v>104</v>
      </c>
      <c r="R11" s="1"/>
      <c r="S11" s="1"/>
      <c r="T11" s="1"/>
      <c r="U11" s="1"/>
      <c r="W11" s="1">
        <v>8</v>
      </c>
      <c r="X11" s="1" t="s">
        <v>115</v>
      </c>
      <c r="Y11" s="1" t="s">
        <v>26</v>
      </c>
      <c r="Z11" s="1" t="s">
        <v>92</v>
      </c>
      <c r="AA11" s="1" t="s">
        <v>27</v>
      </c>
      <c r="AB11" s="1" t="s">
        <v>104</v>
      </c>
      <c r="AC11" s="1"/>
      <c r="AD11" s="1"/>
      <c r="AE11" s="1"/>
      <c r="AF11" s="1"/>
      <c r="AH11" s="1">
        <v>8</v>
      </c>
      <c r="AI11" s="1" t="s">
        <v>115</v>
      </c>
      <c r="AJ11" s="1" t="s">
        <v>26</v>
      </c>
      <c r="AK11" s="1" t="s">
        <v>92</v>
      </c>
      <c r="AL11" s="1" t="s">
        <v>27</v>
      </c>
      <c r="AM11" s="1" t="s">
        <v>104</v>
      </c>
      <c r="AN11" s="1"/>
      <c r="AO11" s="1"/>
      <c r="AP11" s="1"/>
      <c r="AQ11" s="1"/>
      <c r="AS11" s="1">
        <v>8</v>
      </c>
      <c r="AT11" s="1" t="s">
        <v>115</v>
      </c>
      <c r="AU11" s="1" t="s">
        <v>26</v>
      </c>
      <c r="AV11" s="1" t="s">
        <v>92</v>
      </c>
      <c r="AW11" s="1" t="s">
        <v>27</v>
      </c>
      <c r="AX11" s="1" t="s">
        <v>104</v>
      </c>
      <c r="AY11" s="1"/>
      <c r="AZ11" s="1"/>
      <c r="BA11" s="1"/>
      <c r="BB11" s="1"/>
      <c r="BD11" s="1">
        <v>8</v>
      </c>
      <c r="BE11" s="1" t="s">
        <v>115</v>
      </c>
      <c r="BF11" s="1" t="s">
        <v>26</v>
      </c>
      <c r="BG11" s="1" t="s">
        <v>92</v>
      </c>
      <c r="BH11" s="1" t="s">
        <v>27</v>
      </c>
      <c r="BI11" s="1" t="s">
        <v>104</v>
      </c>
      <c r="BJ11" s="1" t="s">
        <v>106</v>
      </c>
      <c r="BK11" s="1"/>
      <c r="BL11" s="1">
        <v>2</v>
      </c>
      <c r="BM11" s="1"/>
      <c r="BO11" s="1">
        <v>8</v>
      </c>
      <c r="BP11" s="1" t="s">
        <v>115</v>
      </c>
      <c r="BQ11" s="1" t="s">
        <v>26</v>
      </c>
      <c r="BR11" s="1" t="s">
        <v>92</v>
      </c>
      <c r="BS11" s="1" t="s">
        <v>27</v>
      </c>
      <c r="BT11" s="1" t="s">
        <v>104</v>
      </c>
      <c r="BU11" s="1"/>
      <c r="BV11" s="1"/>
      <c r="BW11" s="1"/>
      <c r="BX11" s="1"/>
      <c r="BZ11" s="1">
        <v>8</v>
      </c>
      <c r="CA11" s="1" t="s">
        <v>25</v>
      </c>
      <c r="CB11" s="1" t="s">
        <v>26</v>
      </c>
      <c r="CC11" s="1" t="s">
        <v>92</v>
      </c>
      <c r="CD11" s="1" t="s">
        <v>27</v>
      </c>
      <c r="CE11" s="1" t="s">
        <v>104</v>
      </c>
      <c r="CF11" s="1"/>
      <c r="CG11" s="1"/>
      <c r="CH11" s="1"/>
      <c r="CI11" s="1"/>
      <c r="CK11" s="1">
        <v>8</v>
      </c>
      <c r="CL11" s="1" t="s">
        <v>115</v>
      </c>
      <c r="CM11" s="1" t="s">
        <v>26</v>
      </c>
      <c r="CN11" s="1" t="s">
        <v>92</v>
      </c>
      <c r="CO11" s="1" t="s">
        <v>27</v>
      </c>
      <c r="CP11" s="1" t="s">
        <v>104</v>
      </c>
      <c r="CQ11" s="1"/>
      <c r="CR11" s="1"/>
      <c r="CS11" s="1"/>
      <c r="CT11" s="1"/>
    </row>
    <row r="12" spans="1:98" x14ac:dyDescent="0.35">
      <c r="A12" s="1">
        <v>9</v>
      </c>
      <c r="B12" s="1" t="s">
        <v>25</v>
      </c>
      <c r="C12" s="1" t="s">
        <v>26</v>
      </c>
      <c r="D12" s="1" t="s">
        <v>92</v>
      </c>
      <c r="E12" s="1" t="s">
        <v>27</v>
      </c>
      <c r="F12" s="1" t="s">
        <v>104</v>
      </c>
      <c r="G12" s="1"/>
      <c r="H12" s="1"/>
      <c r="I12" s="1"/>
      <c r="J12" s="1"/>
      <c r="L12" s="1">
        <v>9</v>
      </c>
      <c r="M12" s="1" t="s">
        <v>25</v>
      </c>
      <c r="N12" s="1" t="s">
        <v>26</v>
      </c>
      <c r="O12" s="1" t="s">
        <v>92</v>
      </c>
      <c r="P12" s="1" t="s">
        <v>27</v>
      </c>
      <c r="Q12" s="1" t="s">
        <v>104</v>
      </c>
      <c r="R12" s="1"/>
      <c r="S12" s="1"/>
      <c r="T12" s="1"/>
      <c r="U12" s="1"/>
      <c r="W12" s="1">
        <v>9</v>
      </c>
      <c r="X12" s="1" t="s">
        <v>25</v>
      </c>
      <c r="Y12" s="1" t="s">
        <v>26</v>
      </c>
      <c r="Z12" s="1" t="s">
        <v>92</v>
      </c>
      <c r="AA12" s="1" t="s">
        <v>27</v>
      </c>
      <c r="AB12" s="1" t="s">
        <v>104</v>
      </c>
      <c r="AC12" s="1"/>
      <c r="AD12" s="1"/>
      <c r="AE12" s="1"/>
      <c r="AF12" s="1"/>
      <c r="AH12" s="1">
        <v>9</v>
      </c>
      <c r="AI12" s="1" t="s">
        <v>25</v>
      </c>
      <c r="AJ12" s="1" t="s">
        <v>26</v>
      </c>
      <c r="AK12" s="1" t="s">
        <v>92</v>
      </c>
      <c r="AL12" s="1" t="s">
        <v>27</v>
      </c>
      <c r="AM12" s="1" t="s">
        <v>104</v>
      </c>
      <c r="AN12" s="1"/>
      <c r="AO12" s="1"/>
      <c r="AP12" s="1"/>
      <c r="AQ12" s="1"/>
      <c r="AS12" s="1">
        <v>9</v>
      </c>
      <c r="AT12" s="1" t="s">
        <v>25</v>
      </c>
      <c r="AU12" s="1" t="s">
        <v>26</v>
      </c>
      <c r="AV12" s="1" t="s">
        <v>92</v>
      </c>
      <c r="AW12" s="1" t="s">
        <v>27</v>
      </c>
      <c r="AX12" s="1" t="s">
        <v>104</v>
      </c>
      <c r="AY12" s="1"/>
      <c r="AZ12" s="1"/>
      <c r="BA12" s="1"/>
      <c r="BB12" s="1"/>
      <c r="BD12" s="1">
        <v>9</v>
      </c>
      <c r="BE12" s="1" t="s">
        <v>25</v>
      </c>
      <c r="BF12" s="1" t="s">
        <v>26</v>
      </c>
      <c r="BG12" s="1" t="s">
        <v>92</v>
      </c>
      <c r="BH12" s="1" t="s">
        <v>27</v>
      </c>
      <c r="BI12" s="1" t="s">
        <v>104</v>
      </c>
      <c r="BJ12" s="1" t="s">
        <v>106</v>
      </c>
      <c r="BK12" s="1"/>
      <c r="BL12" s="1"/>
      <c r="BM12" s="1"/>
      <c r="BO12" s="1">
        <v>9</v>
      </c>
      <c r="BP12" s="1" t="s">
        <v>25</v>
      </c>
      <c r="BQ12" s="1" t="s">
        <v>26</v>
      </c>
      <c r="BR12" s="1" t="s">
        <v>92</v>
      </c>
      <c r="BS12" s="1" t="s">
        <v>27</v>
      </c>
      <c r="BT12" s="1" t="s">
        <v>104</v>
      </c>
      <c r="BU12" s="1"/>
      <c r="BV12" s="1"/>
      <c r="BW12" s="1"/>
      <c r="BX12" s="1"/>
      <c r="BZ12" s="1">
        <v>9</v>
      </c>
      <c r="CA12" s="1" t="s">
        <v>25</v>
      </c>
      <c r="CB12" s="1" t="s">
        <v>26</v>
      </c>
      <c r="CC12" s="1" t="s">
        <v>12</v>
      </c>
      <c r="CD12" s="1" t="s">
        <v>27</v>
      </c>
      <c r="CE12" s="1" t="s">
        <v>104</v>
      </c>
      <c r="CF12" s="1"/>
      <c r="CG12" s="1"/>
      <c r="CH12" s="1"/>
      <c r="CI12" s="1"/>
      <c r="CK12" s="1">
        <v>9</v>
      </c>
      <c r="CL12" s="1" t="s">
        <v>25</v>
      </c>
      <c r="CM12" s="1" t="s">
        <v>118</v>
      </c>
      <c r="CN12" s="1" t="s">
        <v>92</v>
      </c>
      <c r="CO12" s="1" t="s">
        <v>27</v>
      </c>
      <c r="CP12" s="1" t="s">
        <v>104</v>
      </c>
      <c r="CQ12" s="1"/>
      <c r="CR12" s="1"/>
      <c r="CS12" s="1"/>
      <c r="CT12" s="1"/>
    </row>
    <row r="13" spans="1:98" x14ac:dyDescent="0.35">
      <c r="A13" s="1">
        <v>10</v>
      </c>
      <c r="B13" s="1" t="s">
        <v>115</v>
      </c>
      <c r="C13" s="1" t="s">
        <v>26</v>
      </c>
      <c r="D13" s="1" t="s">
        <v>92</v>
      </c>
      <c r="E13" s="1" t="s">
        <v>27</v>
      </c>
      <c r="F13" s="1" t="s">
        <v>104</v>
      </c>
      <c r="G13" s="1"/>
      <c r="H13" s="1"/>
      <c r="I13" s="1"/>
      <c r="J13" s="1"/>
      <c r="L13" s="1">
        <v>10</v>
      </c>
      <c r="M13" s="1" t="s">
        <v>115</v>
      </c>
      <c r="N13" s="1" t="s">
        <v>26</v>
      </c>
      <c r="O13" s="1" t="s">
        <v>92</v>
      </c>
      <c r="P13" s="1" t="s">
        <v>27</v>
      </c>
      <c r="Q13" s="1" t="s">
        <v>104</v>
      </c>
      <c r="R13" s="1"/>
      <c r="S13" s="1"/>
      <c r="T13" s="1"/>
      <c r="U13" s="1"/>
      <c r="W13" s="1">
        <v>10</v>
      </c>
      <c r="X13" s="1" t="s">
        <v>115</v>
      </c>
      <c r="Y13" s="1" t="s">
        <v>26</v>
      </c>
      <c r="Z13" s="1" t="s">
        <v>92</v>
      </c>
      <c r="AA13" s="1" t="s">
        <v>27</v>
      </c>
      <c r="AB13" s="1" t="s">
        <v>104</v>
      </c>
      <c r="AC13" s="1"/>
      <c r="AD13" s="1"/>
      <c r="AE13" s="1"/>
      <c r="AF13" s="1"/>
      <c r="AH13" s="1">
        <v>10</v>
      </c>
      <c r="AI13" s="1" t="s">
        <v>115</v>
      </c>
      <c r="AJ13" s="1" t="s">
        <v>26</v>
      </c>
      <c r="AK13" s="1" t="s">
        <v>92</v>
      </c>
      <c r="AL13" s="1" t="s">
        <v>27</v>
      </c>
      <c r="AM13" s="1" t="s">
        <v>104</v>
      </c>
      <c r="AN13" s="1"/>
      <c r="AO13" s="1"/>
      <c r="AP13" s="1"/>
      <c r="AQ13" s="1"/>
      <c r="AS13" s="1">
        <v>10</v>
      </c>
      <c r="AT13" s="1" t="s">
        <v>115</v>
      </c>
      <c r="AU13" s="1" t="s">
        <v>26</v>
      </c>
      <c r="AV13" s="1" t="s">
        <v>92</v>
      </c>
      <c r="AW13" s="1" t="s">
        <v>27</v>
      </c>
      <c r="AX13" s="1" t="s">
        <v>104</v>
      </c>
      <c r="AY13" s="1"/>
      <c r="AZ13" s="1"/>
      <c r="BA13" s="1"/>
      <c r="BB13" s="1"/>
      <c r="BD13" s="1">
        <v>10</v>
      </c>
      <c r="BE13" s="1" t="s">
        <v>115</v>
      </c>
      <c r="BF13" s="1" t="s">
        <v>26</v>
      </c>
      <c r="BG13" s="1" t="s">
        <v>92</v>
      </c>
      <c r="BH13" s="1" t="s">
        <v>27</v>
      </c>
      <c r="BI13" s="1" t="s">
        <v>104</v>
      </c>
      <c r="BJ13" s="1"/>
      <c r="BK13" s="1"/>
      <c r="BL13" s="1"/>
      <c r="BM13" s="1"/>
      <c r="BO13" s="1">
        <v>10</v>
      </c>
      <c r="BP13" s="1" t="s">
        <v>115</v>
      </c>
      <c r="BQ13" s="1" t="s">
        <v>26</v>
      </c>
      <c r="BR13" s="1" t="s">
        <v>92</v>
      </c>
      <c r="BS13" s="1" t="s">
        <v>27</v>
      </c>
      <c r="BT13" s="1" t="s">
        <v>104</v>
      </c>
      <c r="BU13" s="1"/>
      <c r="BV13" s="1"/>
      <c r="BW13" s="1"/>
      <c r="BX13" s="1"/>
      <c r="BZ13" s="1">
        <v>10</v>
      </c>
      <c r="CA13" s="1" t="s">
        <v>115</v>
      </c>
      <c r="CB13" s="1" t="s">
        <v>118</v>
      </c>
      <c r="CC13" s="1" t="s">
        <v>92</v>
      </c>
      <c r="CD13" s="1" t="s">
        <v>27</v>
      </c>
      <c r="CE13" s="1" t="s">
        <v>104</v>
      </c>
      <c r="CF13" s="1"/>
      <c r="CG13" s="1"/>
      <c r="CH13" s="1"/>
      <c r="CI13" s="1"/>
      <c r="CK13" s="1">
        <v>10</v>
      </c>
      <c r="CL13" s="1" t="s">
        <v>115</v>
      </c>
      <c r="CM13" s="1" t="s">
        <v>118</v>
      </c>
      <c r="CN13" s="1" t="s">
        <v>92</v>
      </c>
      <c r="CO13" s="1" t="s">
        <v>27</v>
      </c>
      <c r="CP13" s="1" t="s">
        <v>104</v>
      </c>
      <c r="CQ13" s="1"/>
      <c r="CR13" s="1"/>
      <c r="CS13" s="1"/>
      <c r="CT13" s="1"/>
    </row>
    <row r="14" spans="1:98" x14ac:dyDescent="0.35">
      <c r="A14" s="1">
        <v>11</v>
      </c>
      <c r="B14" s="1" t="s">
        <v>25</v>
      </c>
      <c r="C14" s="1" t="s">
        <v>26</v>
      </c>
      <c r="D14" s="1" t="s">
        <v>92</v>
      </c>
      <c r="E14" s="1" t="s">
        <v>27</v>
      </c>
      <c r="F14" s="1" t="s">
        <v>104</v>
      </c>
      <c r="G14" s="1" t="s">
        <v>106</v>
      </c>
      <c r="H14" s="1"/>
      <c r="I14" s="1">
        <v>2</v>
      </c>
      <c r="J14" s="1"/>
      <c r="L14" s="1">
        <v>11</v>
      </c>
      <c r="M14" s="1" t="s">
        <v>25</v>
      </c>
      <c r="N14" s="1" t="s">
        <v>26</v>
      </c>
      <c r="O14" s="1" t="s">
        <v>92</v>
      </c>
      <c r="P14" s="1" t="s">
        <v>27</v>
      </c>
      <c r="Q14" s="1" t="s">
        <v>104</v>
      </c>
      <c r="R14" s="1" t="s">
        <v>106</v>
      </c>
      <c r="S14" s="1"/>
      <c r="T14" s="1">
        <v>2</v>
      </c>
      <c r="U14" s="1"/>
      <c r="W14" s="1">
        <v>11</v>
      </c>
      <c r="X14" s="1" t="s">
        <v>25</v>
      </c>
      <c r="Y14" s="1" t="s">
        <v>118</v>
      </c>
      <c r="Z14" s="1" t="s">
        <v>12</v>
      </c>
      <c r="AA14" s="1" t="s">
        <v>27</v>
      </c>
      <c r="AB14" s="1" t="s">
        <v>104</v>
      </c>
      <c r="AC14" s="1"/>
      <c r="AD14" s="1"/>
      <c r="AE14" s="1">
        <v>2</v>
      </c>
      <c r="AF14" s="1"/>
      <c r="AH14" s="1">
        <v>11</v>
      </c>
      <c r="AI14" s="1" t="s">
        <v>25</v>
      </c>
      <c r="AJ14" s="1" t="s">
        <v>26</v>
      </c>
      <c r="AK14" s="1" t="s">
        <v>92</v>
      </c>
      <c r="AL14" s="1" t="s">
        <v>27</v>
      </c>
      <c r="AM14" s="1" t="s">
        <v>104</v>
      </c>
      <c r="AN14" s="1"/>
      <c r="AO14" s="1"/>
      <c r="AP14" s="1">
        <v>2</v>
      </c>
      <c r="AQ14" s="1"/>
      <c r="AS14" s="1">
        <v>11</v>
      </c>
      <c r="AT14" s="1" t="s">
        <v>25</v>
      </c>
      <c r="AU14" s="1" t="s">
        <v>26</v>
      </c>
      <c r="AV14" s="1" t="s">
        <v>92</v>
      </c>
      <c r="AW14" s="1" t="s">
        <v>27</v>
      </c>
      <c r="AX14" s="1" t="s">
        <v>104</v>
      </c>
      <c r="AY14" s="1" t="s">
        <v>106</v>
      </c>
      <c r="AZ14" s="1"/>
      <c r="BA14" s="1">
        <v>2</v>
      </c>
      <c r="BB14" s="1"/>
      <c r="BD14" s="1">
        <v>11</v>
      </c>
      <c r="BE14" s="1" t="s">
        <v>25</v>
      </c>
      <c r="BF14" s="1" t="s">
        <v>118</v>
      </c>
      <c r="BG14" s="1" t="s">
        <v>92</v>
      </c>
      <c r="BH14" s="1" t="s">
        <v>27</v>
      </c>
      <c r="BI14" s="1" t="s">
        <v>104</v>
      </c>
      <c r="BJ14" s="1" t="s">
        <v>106</v>
      </c>
      <c r="BK14" s="1"/>
      <c r="BL14" s="1">
        <v>2</v>
      </c>
      <c r="BM14" s="1"/>
      <c r="BO14" s="1">
        <v>11</v>
      </c>
      <c r="BP14" s="1" t="s">
        <v>25</v>
      </c>
      <c r="BQ14" s="1" t="s">
        <v>26</v>
      </c>
      <c r="BR14" s="1" t="s">
        <v>92</v>
      </c>
      <c r="BS14" s="1" t="s">
        <v>27</v>
      </c>
      <c r="BT14" s="1" t="s">
        <v>104</v>
      </c>
      <c r="BU14" s="1" t="s">
        <v>106</v>
      </c>
      <c r="BV14" s="1"/>
      <c r="BW14" s="1">
        <v>2</v>
      </c>
      <c r="BX14" s="1"/>
      <c r="BZ14" s="1">
        <v>11</v>
      </c>
      <c r="CA14" s="1" t="s">
        <v>25</v>
      </c>
      <c r="CB14" s="1" t="s">
        <v>118</v>
      </c>
      <c r="CC14" s="1" t="s">
        <v>92</v>
      </c>
      <c r="CD14" s="1" t="s">
        <v>27</v>
      </c>
      <c r="CE14" s="1" t="s">
        <v>104</v>
      </c>
      <c r="CF14" s="1"/>
      <c r="CG14" s="1">
        <v>2</v>
      </c>
      <c r="CH14" s="1"/>
      <c r="CI14" s="1"/>
      <c r="CK14" s="1">
        <v>11</v>
      </c>
      <c r="CL14" s="1" t="s">
        <v>25</v>
      </c>
      <c r="CM14" s="1" t="s">
        <v>118</v>
      </c>
      <c r="CN14" s="1" t="s">
        <v>92</v>
      </c>
      <c r="CO14" s="1" t="s">
        <v>27</v>
      </c>
      <c r="CP14" s="1" t="s">
        <v>104</v>
      </c>
      <c r="CQ14" s="1" t="s">
        <v>106</v>
      </c>
      <c r="CR14" s="1"/>
      <c r="CS14" s="1">
        <v>2</v>
      </c>
      <c r="CT14" s="1"/>
    </row>
    <row r="15" spans="1:98" x14ac:dyDescent="0.35">
      <c r="A15" s="1">
        <v>12</v>
      </c>
      <c r="B15" s="1" t="s">
        <v>25</v>
      </c>
      <c r="C15" s="1" t="s">
        <v>26</v>
      </c>
      <c r="D15" s="1" t="s">
        <v>92</v>
      </c>
      <c r="E15" s="1" t="s">
        <v>27</v>
      </c>
      <c r="F15" s="1" t="s">
        <v>104</v>
      </c>
      <c r="G15" s="1" t="s">
        <v>106</v>
      </c>
      <c r="H15" s="1"/>
      <c r="I15" s="1"/>
      <c r="J15" s="1"/>
      <c r="L15" s="1">
        <v>12</v>
      </c>
      <c r="M15" s="1" t="s">
        <v>25</v>
      </c>
      <c r="N15" s="1" t="s">
        <v>26</v>
      </c>
      <c r="O15" s="1" t="s">
        <v>92</v>
      </c>
      <c r="P15" s="1" t="s">
        <v>27</v>
      </c>
      <c r="Q15" s="1" t="s">
        <v>104</v>
      </c>
      <c r="R15" s="1" t="s">
        <v>106</v>
      </c>
      <c r="S15" s="1"/>
      <c r="T15" s="1"/>
      <c r="U15" s="1"/>
      <c r="W15" s="1">
        <v>12</v>
      </c>
      <c r="X15" s="1" t="s">
        <v>25</v>
      </c>
      <c r="Y15" s="1" t="s">
        <v>118</v>
      </c>
      <c r="Z15" s="1" t="s">
        <v>12</v>
      </c>
      <c r="AA15" s="1" t="s">
        <v>27</v>
      </c>
      <c r="AB15" s="1" t="s">
        <v>104</v>
      </c>
      <c r="AC15" s="1"/>
      <c r="AD15" s="1"/>
      <c r="AE15" s="1"/>
      <c r="AF15" s="1"/>
      <c r="AH15" s="1">
        <v>12</v>
      </c>
      <c r="AI15" s="1" t="s">
        <v>25</v>
      </c>
      <c r="AJ15" s="1" t="s">
        <v>26</v>
      </c>
      <c r="AK15" s="1" t="s">
        <v>92</v>
      </c>
      <c r="AL15" s="1" t="s">
        <v>27</v>
      </c>
      <c r="AM15" s="1" t="s">
        <v>104</v>
      </c>
      <c r="AN15" s="1"/>
      <c r="AO15" s="1"/>
      <c r="AP15" s="1"/>
      <c r="AQ15" s="1"/>
      <c r="AS15" s="1">
        <v>12</v>
      </c>
      <c r="AT15" s="1" t="s">
        <v>25</v>
      </c>
      <c r="AU15" s="1" t="s">
        <v>26</v>
      </c>
      <c r="AV15" s="1" t="s">
        <v>92</v>
      </c>
      <c r="AW15" s="1" t="s">
        <v>27</v>
      </c>
      <c r="AX15" s="1" t="s">
        <v>104</v>
      </c>
      <c r="AY15" s="1" t="s">
        <v>106</v>
      </c>
      <c r="AZ15" s="1"/>
      <c r="BA15" s="1"/>
      <c r="BB15" s="1"/>
      <c r="BD15" s="1">
        <v>12</v>
      </c>
      <c r="BE15" s="1" t="s">
        <v>25</v>
      </c>
      <c r="BF15" s="1" t="s">
        <v>118</v>
      </c>
      <c r="BG15" s="1" t="s">
        <v>92</v>
      </c>
      <c r="BH15" s="1" t="s">
        <v>27</v>
      </c>
      <c r="BI15" s="1" t="s">
        <v>104</v>
      </c>
      <c r="BJ15" s="1" t="s">
        <v>106</v>
      </c>
      <c r="BK15" s="1"/>
      <c r="BL15" s="1"/>
      <c r="BM15" s="1"/>
      <c r="BO15" s="1">
        <v>12</v>
      </c>
      <c r="BP15" s="1" t="s">
        <v>25</v>
      </c>
      <c r="BQ15" s="1" t="s">
        <v>26</v>
      </c>
      <c r="BR15" s="1" t="s">
        <v>92</v>
      </c>
      <c r="BS15" s="1" t="s">
        <v>27</v>
      </c>
      <c r="BT15" s="1" t="s">
        <v>104</v>
      </c>
      <c r="BU15" s="1" t="s">
        <v>106</v>
      </c>
      <c r="BV15" s="1"/>
      <c r="BW15" s="1"/>
      <c r="BX15" s="1"/>
      <c r="BZ15" s="1">
        <v>12</v>
      </c>
      <c r="CA15" s="1" t="s">
        <v>25</v>
      </c>
      <c r="CB15" s="1" t="s">
        <v>118</v>
      </c>
      <c r="CC15" s="1" t="s">
        <v>92</v>
      </c>
      <c r="CD15" s="1" t="s">
        <v>27</v>
      </c>
      <c r="CE15" s="1" t="s">
        <v>104</v>
      </c>
      <c r="CF15" s="1"/>
      <c r="CG15" s="1"/>
      <c r="CH15" s="1"/>
      <c r="CI15" s="1"/>
      <c r="CK15" s="1">
        <v>12</v>
      </c>
      <c r="CL15" s="1" t="s">
        <v>25</v>
      </c>
      <c r="CM15" s="1" t="s">
        <v>118</v>
      </c>
      <c r="CN15" s="1" t="s">
        <v>92</v>
      </c>
      <c r="CO15" s="1" t="s">
        <v>27</v>
      </c>
      <c r="CP15" s="1" t="s">
        <v>104</v>
      </c>
      <c r="CQ15" s="1" t="s">
        <v>106</v>
      </c>
      <c r="CR15" s="1"/>
      <c r="CS15" s="1"/>
      <c r="CT15" s="1"/>
    </row>
    <row r="16" spans="1:98" x14ac:dyDescent="0.35">
      <c r="A16" s="1">
        <v>13</v>
      </c>
      <c r="B16" s="1" t="s">
        <v>25</v>
      </c>
      <c r="C16" s="1" t="s">
        <v>26</v>
      </c>
      <c r="D16" s="1" t="s">
        <v>92</v>
      </c>
      <c r="E16" s="1" t="s">
        <v>27</v>
      </c>
      <c r="F16" s="1" t="s">
        <v>104</v>
      </c>
      <c r="G16" s="1" t="s">
        <v>106</v>
      </c>
      <c r="H16" s="1"/>
      <c r="I16" s="1"/>
      <c r="J16" s="1"/>
      <c r="L16" s="1">
        <v>13</v>
      </c>
      <c r="M16" s="1" t="s">
        <v>25</v>
      </c>
      <c r="N16" s="1" t="s">
        <v>26</v>
      </c>
      <c r="O16" s="1" t="s">
        <v>92</v>
      </c>
      <c r="P16" s="1" t="s">
        <v>27</v>
      </c>
      <c r="Q16" s="1" t="s">
        <v>104</v>
      </c>
      <c r="R16" s="1"/>
      <c r="S16" s="1"/>
      <c r="T16" s="1"/>
      <c r="U16" s="1"/>
      <c r="W16" s="1">
        <v>13</v>
      </c>
      <c r="X16" s="1" t="s">
        <v>25</v>
      </c>
      <c r="Y16" s="1" t="s">
        <v>118</v>
      </c>
      <c r="Z16" s="1" t="s">
        <v>92</v>
      </c>
      <c r="AA16" s="1" t="s">
        <v>27</v>
      </c>
      <c r="AB16" s="1" t="s">
        <v>104</v>
      </c>
      <c r="AC16" s="1"/>
      <c r="AD16" s="1"/>
      <c r="AE16" s="1"/>
      <c r="AF16" s="1"/>
      <c r="AH16" s="1">
        <v>13</v>
      </c>
      <c r="AS16" s="1">
        <v>13</v>
      </c>
      <c r="AT16" s="1" t="s">
        <v>25</v>
      </c>
      <c r="AU16" s="1" t="s">
        <v>26</v>
      </c>
      <c r="AV16" s="1" t="s">
        <v>92</v>
      </c>
      <c r="AW16" s="1" t="s">
        <v>27</v>
      </c>
      <c r="AX16" s="1" t="s">
        <v>104</v>
      </c>
      <c r="AY16" s="1"/>
      <c r="AZ16" s="1"/>
      <c r="BA16" s="1"/>
      <c r="BB16" s="1"/>
      <c r="BD16" s="1">
        <v>13</v>
      </c>
      <c r="BE16" s="1" t="s">
        <v>115</v>
      </c>
      <c r="BF16" s="1" t="s">
        <v>118</v>
      </c>
      <c r="BG16" s="1" t="s">
        <v>92</v>
      </c>
      <c r="BH16" s="1" t="s">
        <v>27</v>
      </c>
      <c r="BI16" s="1" t="s">
        <v>104</v>
      </c>
      <c r="BJ16" s="1"/>
      <c r="BK16" s="1"/>
      <c r="BL16" s="1"/>
      <c r="BM16" s="1"/>
      <c r="BO16" s="1">
        <v>13</v>
      </c>
      <c r="BP16" s="1" t="s">
        <v>25</v>
      </c>
      <c r="BQ16" s="1" t="s">
        <v>26</v>
      </c>
      <c r="BR16" s="1" t="s">
        <v>92</v>
      </c>
      <c r="BS16" s="1" t="s">
        <v>27</v>
      </c>
      <c r="BT16" s="1" t="s">
        <v>104</v>
      </c>
      <c r="BU16" s="1"/>
      <c r="BV16" s="1"/>
      <c r="BW16" s="1"/>
      <c r="BX16" s="1"/>
      <c r="BZ16" s="1">
        <v>13</v>
      </c>
      <c r="CA16" s="1" t="s">
        <v>25</v>
      </c>
      <c r="CB16" s="1" t="s">
        <v>118</v>
      </c>
      <c r="CC16" s="1" t="s">
        <v>92</v>
      </c>
      <c r="CD16" s="1" t="s">
        <v>27</v>
      </c>
      <c r="CE16" s="1" t="s">
        <v>104</v>
      </c>
      <c r="CF16" s="1"/>
      <c r="CG16" s="1"/>
      <c r="CH16" s="1"/>
      <c r="CI16" s="1"/>
      <c r="CK16" s="1">
        <v>13</v>
      </c>
      <c r="CL16" s="1" t="s">
        <v>25</v>
      </c>
      <c r="CM16" s="1" t="s">
        <v>118</v>
      </c>
      <c r="CN16" s="1" t="s">
        <v>92</v>
      </c>
      <c r="CO16" s="1" t="s">
        <v>27</v>
      </c>
      <c r="CP16" s="1" t="s">
        <v>104</v>
      </c>
      <c r="CQ16" s="1"/>
      <c r="CR16" s="1"/>
      <c r="CS16" s="1"/>
      <c r="CT16" s="1"/>
    </row>
    <row r="17" spans="1:98" x14ac:dyDescent="0.35">
      <c r="A17" s="1">
        <v>14</v>
      </c>
      <c r="B17" s="1" t="s">
        <v>115</v>
      </c>
      <c r="C17" s="1" t="s">
        <v>26</v>
      </c>
      <c r="D17" s="1" t="s">
        <v>92</v>
      </c>
      <c r="E17" s="1" t="s">
        <v>27</v>
      </c>
      <c r="F17" s="1" t="s">
        <v>104</v>
      </c>
      <c r="G17" s="1" t="s">
        <v>106</v>
      </c>
      <c r="H17" s="1"/>
      <c r="I17" s="1"/>
      <c r="J17" s="1"/>
      <c r="L17" s="1">
        <v>14</v>
      </c>
      <c r="M17" s="1" t="s">
        <v>115</v>
      </c>
      <c r="N17" s="1" t="s">
        <v>26</v>
      </c>
      <c r="O17" s="1" t="s">
        <v>92</v>
      </c>
      <c r="P17" s="1" t="s">
        <v>27</v>
      </c>
      <c r="Q17" s="1" t="s">
        <v>104</v>
      </c>
      <c r="R17" s="1"/>
      <c r="S17" s="1"/>
      <c r="T17" s="1"/>
      <c r="U17" s="1"/>
      <c r="W17" s="1">
        <v>14</v>
      </c>
      <c r="X17" s="1" t="s">
        <v>115</v>
      </c>
      <c r="Y17" s="1" t="s">
        <v>26</v>
      </c>
      <c r="Z17" s="1" t="s">
        <v>92</v>
      </c>
      <c r="AA17" s="1" t="s">
        <v>27</v>
      </c>
      <c r="AB17" s="1" t="s">
        <v>104</v>
      </c>
      <c r="AC17" s="1"/>
      <c r="AD17" s="1"/>
      <c r="AE17" s="1"/>
      <c r="AF17" s="1"/>
      <c r="AH17" s="1">
        <v>14</v>
      </c>
      <c r="AI17" s="1" t="s">
        <v>115</v>
      </c>
      <c r="AJ17" s="1" t="s">
        <v>26</v>
      </c>
      <c r="AK17" s="1" t="s">
        <v>92</v>
      </c>
      <c r="AL17" s="1" t="s">
        <v>27</v>
      </c>
      <c r="AM17" s="1" t="s">
        <v>104</v>
      </c>
      <c r="AN17" s="1"/>
      <c r="AO17" s="1"/>
      <c r="AP17" s="1"/>
      <c r="AQ17" s="1"/>
      <c r="AS17" s="1">
        <v>14</v>
      </c>
      <c r="AT17" s="1" t="s">
        <v>115</v>
      </c>
      <c r="AU17" s="1" t="s">
        <v>26</v>
      </c>
      <c r="AV17" s="1" t="s">
        <v>92</v>
      </c>
      <c r="AW17" s="1" t="s">
        <v>27</v>
      </c>
      <c r="AX17" s="1" t="s">
        <v>104</v>
      </c>
      <c r="AY17" s="1"/>
      <c r="AZ17" s="1"/>
      <c r="BA17" s="1"/>
      <c r="BB17" s="1"/>
      <c r="BD17" s="1">
        <v>14</v>
      </c>
      <c r="BE17" s="1" t="s">
        <v>25</v>
      </c>
      <c r="BF17" s="1" t="s">
        <v>26</v>
      </c>
      <c r="BG17" s="1" t="s">
        <v>92</v>
      </c>
      <c r="BH17" s="1" t="s">
        <v>27</v>
      </c>
      <c r="BI17" s="1" t="s">
        <v>104</v>
      </c>
      <c r="BJ17" s="1"/>
      <c r="BK17" s="1"/>
      <c r="BL17" s="1"/>
      <c r="BM17" s="1"/>
      <c r="BO17" s="1">
        <v>14</v>
      </c>
      <c r="BP17" s="1" t="s">
        <v>115</v>
      </c>
      <c r="BQ17" s="1" t="s">
        <v>26</v>
      </c>
      <c r="BR17" s="1" t="s">
        <v>92</v>
      </c>
      <c r="BS17" s="1" t="s">
        <v>27</v>
      </c>
      <c r="BT17" s="1" t="s">
        <v>104</v>
      </c>
      <c r="BU17" s="1"/>
      <c r="BV17" s="1"/>
      <c r="BW17" s="1"/>
      <c r="BX17" s="1"/>
      <c r="BZ17" s="1">
        <v>14</v>
      </c>
      <c r="CA17" s="1" t="s">
        <v>115</v>
      </c>
      <c r="CB17" s="1" t="s">
        <v>26</v>
      </c>
      <c r="CC17" s="1" t="s">
        <v>92</v>
      </c>
      <c r="CD17" s="1" t="s">
        <v>27</v>
      </c>
      <c r="CE17" s="1" t="s">
        <v>104</v>
      </c>
      <c r="CF17" s="1"/>
      <c r="CG17" s="1"/>
      <c r="CH17" s="1"/>
      <c r="CI17" s="1"/>
      <c r="CK17" s="1">
        <v>14</v>
      </c>
      <c r="CL17" s="1" t="s">
        <v>115</v>
      </c>
      <c r="CM17" s="1" t="s">
        <v>26</v>
      </c>
      <c r="CN17" s="1" t="s">
        <v>92</v>
      </c>
      <c r="CO17" s="1" t="s">
        <v>27</v>
      </c>
      <c r="CP17" s="1" t="s">
        <v>104</v>
      </c>
      <c r="CQ17" s="1"/>
      <c r="CR17" s="1"/>
      <c r="CS17" s="1"/>
      <c r="CT17" s="1"/>
    </row>
    <row r="18" spans="1:98" x14ac:dyDescent="0.35">
      <c r="A18" s="1">
        <v>15</v>
      </c>
      <c r="B18" s="1" t="s">
        <v>115</v>
      </c>
      <c r="C18" s="1" t="s">
        <v>26</v>
      </c>
      <c r="D18" s="1" t="s">
        <v>92</v>
      </c>
      <c r="E18" s="1" t="s">
        <v>27</v>
      </c>
      <c r="F18" s="1" t="s">
        <v>104</v>
      </c>
      <c r="G18" s="1" t="s">
        <v>106</v>
      </c>
      <c r="H18" s="1"/>
      <c r="I18" s="1">
        <v>2</v>
      </c>
      <c r="J18" s="1"/>
      <c r="L18" s="1">
        <v>15</v>
      </c>
      <c r="M18" s="1" t="s">
        <v>115</v>
      </c>
      <c r="N18" s="1" t="s">
        <v>26</v>
      </c>
      <c r="O18" s="1" t="s">
        <v>92</v>
      </c>
      <c r="P18" s="1" t="s">
        <v>27</v>
      </c>
      <c r="Q18" s="1" t="s">
        <v>104</v>
      </c>
      <c r="R18" s="1" t="s">
        <v>106</v>
      </c>
      <c r="S18" s="1"/>
      <c r="T18" s="1"/>
      <c r="U18" s="1"/>
      <c r="W18" s="1">
        <v>15</v>
      </c>
      <c r="X18" s="1" t="s">
        <v>115</v>
      </c>
      <c r="Y18" s="1" t="s">
        <v>26</v>
      </c>
      <c r="Z18" s="1" t="s">
        <v>12</v>
      </c>
      <c r="AA18" s="1" t="s">
        <v>27</v>
      </c>
      <c r="AB18" s="1" t="s">
        <v>104</v>
      </c>
      <c r="AC18" s="1"/>
      <c r="AD18" s="1"/>
      <c r="AE18" s="1"/>
      <c r="AF18" s="1"/>
      <c r="AH18" s="1">
        <v>15</v>
      </c>
      <c r="AI18" s="1" t="s">
        <v>115</v>
      </c>
      <c r="AJ18" s="1" t="s">
        <v>26</v>
      </c>
      <c r="AK18" s="1" t="s">
        <v>92</v>
      </c>
      <c r="AL18" s="1" t="s">
        <v>27</v>
      </c>
      <c r="AM18" s="1" t="s">
        <v>104</v>
      </c>
      <c r="AN18" s="1" t="s">
        <v>106</v>
      </c>
      <c r="AO18" s="1"/>
      <c r="AP18" s="1">
        <v>2</v>
      </c>
      <c r="AQ18" s="1"/>
      <c r="AS18" s="1">
        <v>15</v>
      </c>
      <c r="AT18" s="1" t="s">
        <v>115</v>
      </c>
      <c r="AU18" s="1" t="s">
        <v>26</v>
      </c>
      <c r="AV18" s="1" t="s">
        <v>92</v>
      </c>
      <c r="AW18" s="1" t="s">
        <v>27</v>
      </c>
      <c r="AX18" s="1" t="s">
        <v>104</v>
      </c>
      <c r="AY18" s="15" t="s">
        <v>106</v>
      </c>
      <c r="AZ18" s="1"/>
      <c r="BA18" s="1">
        <v>2</v>
      </c>
      <c r="BB18" s="1"/>
      <c r="BD18" s="1">
        <v>15</v>
      </c>
      <c r="BE18" s="1" t="s">
        <v>115</v>
      </c>
      <c r="BF18" s="1" t="s">
        <v>118</v>
      </c>
      <c r="BG18" s="1" t="s">
        <v>92</v>
      </c>
      <c r="BH18" s="1" t="s">
        <v>27</v>
      </c>
      <c r="BI18" s="1" t="s">
        <v>104</v>
      </c>
      <c r="BJ18" s="1" t="s">
        <v>106</v>
      </c>
      <c r="BK18" s="1"/>
      <c r="BL18" s="1">
        <v>2</v>
      </c>
      <c r="BM18" s="1"/>
      <c r="BO18" s="1">
        <v>15</v>
      </c>
      <c r="BP18" s="1" t="s">
        <v>115</v>
      </c>
      <c r="BQ18" s="1" t="s">
        <v>26</v>
      </c>
      <c r="BR18" s="1" t="s">
        <v>92</v>
      </c>
      <c r="BS18" s="1" t="s">
        <v>27</v>
      </c>
      <c r="BT18" s="1" t="s">
        <v>104</v>
      </c>
      <c r="BU18" s="15" t="s">
        <v>106</v>
      </c>
      <c r="BV18" s="1"/>
      <c r="BW18" s="1">
        <v>2</v>
      </c>
      <c r="BX18" s="1"/>
      <c r="BZ18" s="1">
        <v>15</v>
      </c>
      <c r="CA18" s="1" t="s">
        <v>115</v>
      </c>
      <c r="CB18" s="1" t="s">
        <v>118</v>
      </c>
      <c r="CC18" s="1" t="s">
        <v>92</v>
      </c>
      <c r="CD18" s="1" t="s">
        <v>27</v>
      </c>
      <c r="CE18" s="1" t="s">
        <v>104</v>
      </c>
      <c r="CF18" s="15"/>
      <c r="CG18" s="1">
        <v>2</v>
      </c>
      <c r="CH18" s="1"/>
      <c r="CI18" s="1"/>
      <c r="CK18" s="1">
        <v>15</v>
      </c>
      <c r="CL18" s="1" t="s">
        <v>115</v>
      </c>
      <c r="CM18" s="1" t="s">
        <v>26</v>
      </c>
      <c r="CN18" s="1" t="s">
        <v>92</v>
      </c>
      <c r="CO18" s="1" t="s">
        <v>27</v>
      </c>
      <c r="CP18" s="1" t="s">
        <v>104</v>
      </c>
      <c r="CQ18" s="15" t="s">
        <v>106</v>
      </c>
      <c r="CR18" s="1"/>
      <c r="CS18" s="1">
        <v>2</v>
      </c>
      <c r="CT18" s="1"/>
    </row>
    <row r="19" spans="1:98" x14ac:dyDescent="0.35">
      <c r="A19" s="1">
        <v>16</v>
      </c>
      <c r="B19" s="1" t="s">
        <v>115</v>
      </c>
      <c r="C19" s="1" t="s">
        <v>26</v>
      </c>
      <c r="D19" s="1" t="s">
        <v>92</v>
      </c>
      <c r="E19" s="1" t="s">
        <v>27</v>
      </c>
      <c r="F19" s="1" t="s">
        <v>104</v>
      </c>
      <c r="G19" s="1" t="s">
        <v>106</v>
      </c>
      <c r="H19" s="1"/>
      <c r="I19" s="1"/>
      <c r="J19" s="1"/>
      <c r="L19" s="1">
        <v>16</v>
      </c>
      <c r="M19" s="1" t="s">
        <v>115</v>
      </c>
      <c r="N19" s="1" t="s">
        <v>26</v>
      </c>
      <c r="O19" s="1" t="s">
        <v>92</v>
      </c>
      <c r="P19" s="1" t="s">
        <v>27</v>
      </c>
      <c r="Q19" s="1" t="s">
        <v>104</v>
      </c>
      <c r="R19" s="1" t="s">
        <v>106</v>
      </c>
      <c r="S19" s="1"/>
      <c r="T19" s="1"/>
      <c r="U19" s="1"/>
      <c r="W19" s="1">
        <v>16</v>
      </c>
      <c r="X19" s="1" t="s">
        <v>115</v>
      </c>
      <c r="Y19" s="1" t="s">
        <v>26</v>
      </c>
      <c r="Z19" s="1" t="s">
        <v>12</v>
      </c>
      <c r="AA19" s="1" t="s">
        <v>27</v>
      </c>
      <c r="AB19" s="1" t="s">
        <v>104</v>
      </c>
      <c r="AC19" s="1"/>
      <c r="AD19" s="1"/>
      <c r="AE19" s="1"/>
      <c r="AF19" s="1"/>
      <c r="AH19" s="1">
        <v>16</v>
      </c>
      <c r="AI19" s="1" t="s">
        <v>115</v>
      </c>
      <c r="AJ19" s="1" t="s">
        <v>26</v>
      </c>
      <c r="AK19" s="1" t="s">
        <v>92</v>
      </c>
      <c r="AL19" s="1" t="s">
        <v>27</v>
      </c>
      <c r="AM19" s="1" t="s">
        <v>104</v>
      </c>
      <c r="AN19" s="1" t="s">
        <v>106</v>
      </c>
      <c r="AO19" s="1"/>
      <c r="AP19" s="1"/>
      <c r="AQ19" s="1"/>
      <c r="AS19" s="1">
        <v>16</v>
      </c>
      <c r="AT19" s="1" t="s">
        <v>115</v>
      </c>
      <c r="AU19" s="1" t="s">
        <v>26</v>
      </c>
      <c r="AV19" s="1" t="s">
        <v>92</v>
      </c>
      <c r="AW19" s="1" t="s">
        <v>27</v>
      </c>
      <c r="AX19" s="1" t="s">
        <v>104</v>
      </c>
      <c r="AY19" s="1" t="s">
        <v>106</v>
      </c>
      <c r="AZ19" s="1"/>
      <c r="BA19" s="1"/>
      <c r="BB19" s="1"/>
      <c r="BD19" s="1">
        <v>16</v>
      </c>
      <c r="BE19" s="1" t="s">
        <v>115</v>
      </c>
      <c r="BF19" s="1" t="s">
        <v>118</v>
      </c>
      <c r="BG19" s="1" t="s">
        <v>92</v>
      </c>
      <c r="BH19" s="1" t="s">
        <v>27</v>
      </c>
      <c r="BI19" s="1" t="s">
        <v>104</v>
      </c>
      <c r="BJ19" s="15" t="s">
        <v>106</v>
      </c>
      <c r="BK19" s="1"/>
      <c r="BL19" s="1"/>
      <c r="BM19" s="1"/>
      <c r="BO19" s="1">
        <v>16</v>
      </c>
      <c r="BP19" s="1" t="s">
        <v>115</v>
      </c>
      <c r="BQ19" s="1" t="s">
        <v>26</v>
      </c>
      <c r="BR19" s="1" t="s">
        <v>92</v>
      </c>
      <c r="BS19" s="1" t="s">
        <v>27</v>
      </c>
      <c r="BT19" s="1" t="s">
        <v>104</v>
      </c>
      <c r="BU19" s="1" t="s">
        <v>106</v>
      </c>
      <c r="BV19" s="1"/>
      <c r="BW19" s="1"/>
      <c r="BX19" s="1"/>
      <c r="BZ19" s="1">
        <v>16</v>
      </c>
      <c r="CA19" s="1" t="s">
        <v>115</v>
      </c>
      <c r="CB19" s="1" t="s">
        <v>118</v>
      </c>
      <c r="CC19" s="1" t="s">
        <v>92</v>
      </c>
      <c r="CD19" s="1" t="s">
        <v>27</v>
      </c>
      <c r="CE19" s="1" t="s">
        <v>104</v>
      </c>
      <c r="CF19" s="1"/>
      <c r="CG19" s="1"/>
      <c r="CH19" s="1"/>
      <c r="CI19" s="1"/>
      <c r="CK19" s="1">
        <v>16</v>
      </c>
      <c r="CL19" s="1" t="s">
        <v>115</v>
      </c>
      <c r="CM19" s="1" t="s">
        <v>26</v>
      </c>
      <c r="CN19" s="1" t="s">
        <v>92</v>
      </c>
      <c r="CO19" s="1" t="s">
        <v>27</v>
      </c>
      <c r="CP19" s="1" t="s">
        <v>104</v>
      </c>
      <c r="CQ19" s="1" t="s">
        <v>106</v>
      </c>
      <c r="CR19" s="1"/>
      <c r="CS19" s="1"/>
      <c r="CT19" s="1"/>
    </row>
    <row r="20" spans="1:98" x14ac:dyDescent="0.35">
      <c r="A20" s="1">
        <v>17</v>
      </c>
      <c r="J20" s="1"/>
      <c r="L20" s="1">
        <v>17</v>
      </c>
      <c r="M20" s="1" t="s">
        <v>115</v>
      </c>
      <c r="N20" s="1" t="s">
        <v>26</v>
      </c>
      <c r="O20" s="1" t="s">
        <v>92</v>
      </c>
      <c r="P20" s="1" t="s">
        <v>27</v>
      </c>
      <c r="Q20" s="1" t="s">
        <v>104</v>
      </c>
      <c r="R20" s="1"/>
      <c r="S20" s="1"/>
      <c r="T20" s="1">
        <v>2</v>
      </c>
      <c r="U20" s="1"/>
      <c r="W20" s="1">
        <v>17</v>
      </c>
      <c r="X20" s="1" t="s">
        <v>115</v>
      </c>
      <c r="Y20" s="1" t="s">
        <v>26</v>
      </c>
      <c r="Z20" s="1" t="s">
        <v>92</v>
      </c>
      <c r="AA20" s="1" t="s">
        <v>27</v>
      </c>
      <c r="AB20" s="1" t="s">
        <v>104</v>
      </c>
      <c r="AC20" s="1"/>
      <c r="AD20" s="1"/>
      <c r="AE20" s="1">
        <v>2</v>
      </c>
      <c r="AF20" s="1"/>
      <c r="AH20" s="1">
        <v>17</v>
      </c>
      <c r="AI20" s="1" t="s">
        <v>115</v>
      </c>
      <c r="AJ20" s="1" t="s">
        <v>26</v>
      </c>
      <c r="AK20" s="1" t="s">
        <v>92</v>
      </c>
      <c r="AL20" s="1" t="s">
        <v>27</v>
      </c>
      <c r="AM20" s="1" t="s">
        <v>104</v>
      </c>
      <c r="AO20" s="1"/>
      <c r="AP20" s="1">
        <v>2</v>
      </c>
      <c r="AQ20" s="1"/>
      <c r="AS20" s="1">
        <v>17</v>
      </c>
      <c r="AT20" s="1" t="s">
        <v>115</v>
      </c>
      <c r="AU20" s="1" t="s">
        <v>26</v>
      </c>
      <c r="AV20" s="1" t="s">
        <v>92</v>
      </c>
      <c r="AW20" s="1" t="s">
        <v>27</v>
      </c>
      <c r="AX20" s="1" t="s">
        <v>104</v>
      </c>
      <c r="AY20" s="1"/>
      <c r="AZ20" s="1"/>
      <c r="BA20" s="1">
        <v>2</v>
      </c>
      <c r="BB20" s="1"/>
      <c r="BD20" s="1">
        <v>17</v>
      </c>
      <c r="BE20" s="1" t="s">
        <v>115</v>
      </c>
      <c r="BF20" s="1" t="s">
        <v>118</v>
      </c>
      <c r="BG20" s="1" t="s">
        <v>92</v>
      </c>
      <c r="BH20" s="1" t="s">
        <v>27</v>
      </c>
      <c r="BI20" s="1" t="s">
        <v>104</v>
      </c>
      <c r="BJ20" s="1"/>
      <c r="BK20" s="1"/>
      <c r="BL20" s="1">
        <v>2</v>
      </c>
      <c r="BM20" s="1"/>
      <c r="BO20" s="1">
        <v>17</v>
      </c>
      <c r="BP20" s="1" t="s">
        <v>115</v>
      </c>
      <c r="BQ20" s="1" t="s">
        <v>26</v>
      </c>
      <c r="BR20" s="1" t="s">
        <v>92</v>
      </c>
      <c r="BS20" s="1" t="s">
        <v>27</v>
      </c>
      <c r="BT20" s="1" t="s">
        <v>104</v>
      </c>
      <c r="BU20" s="1"/>
      <c r="BV20" s="1"/>
      <c r="BW20" s="1">
        <v>2</v>
      </c>
      <c r="BX20" s="1"/>
      <c r="BZ20" s="1">
        <v>17</v>
      </c>
      <c r="CA20" s="1" t="s">
        <v>115</v>
      </c>
      <c r="CB20" s="1" t="s">
        <v>26</v>
      </c>
      <c r="CC20" s="1" t="s">
        <v>92</v>
      </c>
      <c r="CD20" s="1" t="s">
        <v>27</v>
      </c>
      <c r="CE20" s="1" t="s">
        <v>104</v>
      </c>
      <c r="CF20" s="1"/>
      <c r="CG20" s="1"/>
      <c r="CH20" s="1"/>
      <c r="CI20" s="1"/>
      <c r="CK20" s="1">
        <v>17</v>
      </c>
      <c r="CL20" s="1" t="s">
        <v>115</v>
      </c>
      <c r="CM20" s="1" t="s">
        <v>26</v>
      </c>
      <c r="CN20" s="1" t="s">
        <v>92</v>
      </c>
      <c r="CO20" s="1" t="s">
        <v>27</v>
      </c>
      <c r="CP20" s="1" t="s">
        <v>104</v>
      </c>
      <c r="CQ20" s="1"/>
      <c r="CR20" s="1"/>
      <c r="CS20" s="1">
        <v>2</v>
      </c>
      <c r="CT20" s="1"/>
    </row>
    <row r="21" spans="1:98" x14ac:dyDescent="0.35">
      <c r="A21" s="1">
        <v>18</v>
      </c>
      <c r="B21" s="1" t="s">
        <v>115</v>
      </c>
      <c r="C21" s="1" t="s">
        <v>26</v>
      </c>
      <c r="D21" s="1" t="s">
        <v>12</v>
      </c>
      <c r="E21" s="1" t="s">
        <v>27</v>
      </c>
      <c r="F21" s="1" t="s">
        <v>104</v>
      </c>
      <c r="G21" s="1" t="s">
        <v>106</v>
      </c>
      <c r="H21" s="1"/>
      <c r="J21" s="1"/>
      <c r="L21" s="1">
        <v>18</v>
      </c>
      <c r="M21" s="1" t="s">
        <v>115</v>
      </c>
      <c r="N21" s="1" t="s">
        <v>26</v>
      </c>
      <c r="O21" s="1" t="s">
        <v>92</v>
      </c>
      <c r="P21" s="1" t="s">
        <v>27</v>
      </c>
      <c r="Q21" s="1" t="s">
        <v>104</v>
      </c>
      <c r="R21" s="1"/>
      <c r="S21" s="1"/>
      <c r="T21" s="1"/>
      <c r="U21" s="1"/>
      <c r="W21" s="1">
        <v>18</v>
      </c>
      <c r="X21" s="1" t="s">
        <v>115</v>
      </c>
      <c r="Y21" s="1" t="s">
        <v>26</v>
      </c>
      <c r="Z21" s="1" t="s">
        <v>92</v>
      </c>
      <c r="AA21" s="1" t="s">
        <v>27</v>
      </c>
      <c r="AB21" s="1" t="s">
        <v>104</v>
      </c>
      <c r="AC21" s="1"/>
      <c r="AD21" s="1"/>
      <c r="AE21" s="1"/>
      <c r="AF21" s="1"/>
      <c r="AH21" s="1">
        <v>18</v>
      </c>
      <c r="AI21" s="1" t="s">
        <v>115</v>
      </c>
      <c r="AJ21" s="1" t="s">
        <v>26</v>
      </c>
      <c r="AK21" s="1" t="s">
        <v>92</v>
      </c>
      <c r="AL21" s="1" t="s">
        <v>27</v>
      </c>
      <c r="AM21" s="1" t="s">
        <v>104</v>
      </c>
      <c r="AN21" s="1"/>
      <c r="AO21" s="1"/>
      <c r="AP21" s="1"/>
      <c r="AQ21" s="1"/>
      <c r="AS21" s="1">
        <v>18</v>
      </c>
      <c r="AT21" s="1" t="s">
        <v>115</v>
      </c>
      <c r="AU21" s="1" t="s">
        <v>26</v>
      </c>
      <c r="AV21" s="1" t="s">
        <v>92</v>
      </c>
      <c r="AW21" s="1" t="s">
        <v>27</v>
      </c>
      <c r="AX21" s="1" t="s">
        <v>104</v>
      </c>
      <c r="AY21" s="1"/>
      <c r="AZ21" s="1"/>
      <c r="BA21" s="1"/>
      <c r="BB21" s="1"/>
      <c r="BD21" s="1">
        <v>18</v>
      </c>
      <c r="BE21" s="1" t="s">
        <v>115</v>
      </c>
      <c r="BF21" s="1" t="s">
        <v>118</v>
      </c>
      <c r="BG21" s="1" t="s">
        <v>92</v>
      </c>
      <c r="BH21" s="1" t="s">
        <v>27</v>
      </c>
      <c r="BI21" s="1" t="s">
        <v>104</v>
      </c>
      <c r="BJ21" s="1"/>
      <c r="BK21" s="1"/>
      <c r="BL21" s="1"/>
      <c r="BM21" s="1"/>
      <c r="BO21" s="1">
        <v>18</v>
      </c>
      <c r="BP21" s="1" t="s">
        <v>115</v>
      </c>
      <c r="BQ21" s="1" t="s">
        <v>26</v>
      </c>
      <c r="BR21" s="1" t="s">
        <v>92</v>
      </c>
      <c r="BS21" s="1" t="s">
        <v>27</v>
      </c>
      <c r="BT21" s="1" t="s">
        <v>104</v>
      </c>
      <c r="BU21" s="1"/>
      <c r="BV21" s="1"/>
      <c r="BW21" s="1"/>
      <c r="BX21" s="1"/>
      <c r="BZ21" s="1">
        <v>18</v>
      </c>
      <c r="CA21" s="1" t="s">
        <v>115</v>
      </c>
      <c r="CB21" s="1" t="s">
        <v>26</v>
      </c>
      <c r="CC21" s="1" t="s">
        <v>92</v>
      </c>
      <c r="CD21" s="1" t="s">
        <v>27</v>
      </c>
      <c r="CE21" s="1" t="s">
        <v>104</v>
      </c>
      <c r="CF21" s="1"/>
      <c r="CG21" s="1"/>
      <c r="CH21" s="1"/>
      <c r="CI21" s="1"/>
      <c r="CK21" s="1">
        <v>18</v>
      </c>
      <c r="CL21" s="1" t="s">
        <v>115</v>
      </c>
      <c r="CM21" s="1" t="s">
        <v>26</v>
      </c>
      <c r="CN21" s="1" t="s">
        <v>92</v>
      </c>
      <c r="CO21" s="1" t="s">
        <v>27</v>
      </c>
      <c r="CP21" s="1" t="s">
        <v>104</v>
      </c>
      <c r="CQ21" s="1"/>
      <c r="CR21" s="1"/>
      <c r="CS21" s="1"/>
      <c r="CT21" s="1"/>
    </row>
    <row r="22" spans="1:98" x14ac:dyDescent="0.35">
      <c r="A22" s="1">
        <v>19</v>
      </c>
      <c r="J22" s="1"/>
      <c r="L22" s="1">
        <v>19</v>
      </c>
      <c r="M22" s="1" t="s">
        <v>115</v>
      </c>
      <c r="N22" s="1" t="s">
        <v>26</v>
      </c>
      <c r="O22" s="1" t="s">
        <v>12</v>
      </c>
      <c r="P22" s="1" t="s">
        <v>27</v>
      </c>
      <c r="Q22" s="1" t="s">
        <v>104</v>
      </c>
      <c r="R22" s="1"/>
      <c r="S22" s="1"/>
      <c r="T22" s="1"/>
      <c r="U22" s="1"/>
      <c r="W22" s="1">
        <v>19</v>
      </c>
      <c r="X22" s="1" t="s">
        <v>115</v>
      </c>
      <c r="Y22" s="1" t="s">
        <v>119</v>
      </c>
      <c r="Z22" s="1" t="s">
        <v>12</v>
      </c>
      <c r="AA22" s="1" t="s">
        <v>27</v>
      </c>
      <c r="AB22" s="1" t="s">
        <v>104</v>
      </c>
      <c r="AC22" s="1"/>
      <c r="AD22" s="1"/>
      <c r="AE22" s="1"/>
      <c r="AF22" s="1"/>
      <c r="AH22" s="1">
        <v>19</v>
      </c>
      <c r="AI22" s="1" t="s">
        <v>115</v>
      </c>
      <c r="AJ22" s="1" t="s">
        <v>119</v>
      </c>
      <c r="AK22" s="1" t="s">
        <v>12</v>
      </c>
      <c r="AL22" s="1" t="s">
        <v>27</v>
      </c>
      <c r="AM22" s="1" t="s">
        <v>104</v>
      </c>
      <c r="AN22" s="1"/>
      <c r="AO22" s="1"/>
      <c r="AP22" s="1"/>
      <c r="AQ22" s="1"/>
      <c r="AS22" s="1">
        <v>19</v>
      </c>
      <c r="AT22" s="1" t="s">
        <v>115</v>
      </c>
      <c r="AU22" s="1" t="s">
        <v>26</v>
      </c>
      <c r="AV22" s="1" t="s">
        <v>12</v>
      </c>
      <c r="AW22" s="1" t="s">
        <v>27</v>
      </c>
      <c r="AX22" s="1" t="s">
        <v>104</v>
      </c>
      <c r="AY22" s="1"/>
      <c r="AZ22" s="1"/>
      <c r="BA22" s="1"/>
      <c r="BB22" s="1"/>
      <c r="BD22" s="1">
        <v>19</v>
      </c>
      <c r="BE22" s="1" t="s">
        <v>115</v>
      </c>
      <c r="BF22" s="1" t="s">
        <v>26</v>
      </c>
      <c r="BG22" s="1" t="s">
        <v>12</v>
      </c>
      <c r="BH22" s="1" t="s">
        <v>27</v>
      </c>
      <c r="BI22" s="1" t="s">
        <v>104</v>
      </c>
      <c r="BJ22" s="1"/>
      <c r="BK22" s="1"/>
      <c r="BL22" s="1"/>
      <c r="BM22" s="1"/>
      <c r="BO22" s="1">
        <v>19</v>
      </c>
      <c r="BP22" s="1" t="s">
        <v>115</v>
      </c>
      <c r="BQ22" s="1" t="s">
        <v>119</v>
      </c>
      <c r="BR22" s="1" t="s">
        <v>12</v>
      </c>
      <c r="BS22" s="1" t="s">
        <v>27</v>
      </c>
      <c r="BT22" s="1" t="s">
        <v>104</v>
      </c>
      <c r="BU22" s="1"/>
      <c r="BV22" s="1"/>
      <c r="BW22" s="1"/>
      <c r="BX22" s="1"/>
      <c r="BZ22" s="1">
        <v>19</v>
      </c>
      <c r="CA22" s="1" t="s">
        <v>115</v>
      </c>
      <c r="CB22" s="1" t="s">
        <v>26</v>
      </c>
      <c r="CC22" s="1" t="s">
        <v>12</v>
      </c>
      <c r="CD22" s="1" t="s">
        <v>27</v>
      </c>
      <c r="CE22" s="1" t="s">
        <v>104</v>
      </c>
      <c r="CF22" s="1"/>
      <c r="CG22" s="1"/>
      <c r="CH22" s="1"/>
      <c r="CI22" s="1"/>
      <c r="CK22" s="1">
        <v>19</v>
      </c>
      <c r="CL22" s="1" t="s">
        <v>115</v>
      </c>
      <c r="CM22" s="1" t="s">
        <v>119</v>
      </c>
      <c r="CN22" s="1" t="s">
        <v>12</v>
      </c>
      <c r="CO22" s="1" t="s">
        <v>27</v>
      </c>
      <c r="CP22" s="1" t="s">
        <v>104</v>
      </c>
      <c r="CQ22" s="1"/>
      <c r="CR22" s="1"/>
      <c r="CS22" s="1"/>
      <c r="CT22" s="1"/>
    </row>
    <row r="23" spans="1:98" x14ac:dyDescent="0.35">
      <c r="A23" s="1">
        <v>20</v>
      </c>
      <c r="B23" s="1"/>
      <c r="C23" s="1"/>
      <c r="D23" s="1"/>
      <c r="E23" s="1"/>
      <c r="F23" s="1"/>
      <c r="G23" s="1"/>
      <c r="H23" s="1"/>
      <c r="J23" s="1"/>
      <c r="L23" s="1">
        <v>20</v>
      </c>
      <c r="U23" s="1"/>
      <c r="W23" s="1">
        <v>20</v>
      </c>
      <c r="X23" s="1" t="s">
        <v>25</v>
      </c>
      <c r="Y23" s="1" t="s">
        <v>26</v>
      </c>
      <c r="Z23" s="1" t="s">
        <v>12</v>
      </c>
      <c r="AA23" s="1" t="s">
        <v>27</v>
      </c>
      <c r="AB23" s="1" t="s">
        <v>104</v>
      </c>
      <c r="AC23" s="1"/>
      <c r="AD23" s="1"/>
      <c r="AE23" s="1"/>
      <c r="AF23" s="1"/>
      <c r="AH23" s="1">
        <v>20</v>
      </c>
      <c r="AI23" s="1" t="s">
        <v>25</v>
      </c>
      <c r="AJ23" s="1" t="s">
        <v>26</v>
      </c>
      <c r="AK23" s="1" t="s">
        <v>12</v>
      </c>
      <c r="AL23" s="1" t="s">
        <v>27</v>
      </c>
      <c r="AM23" s="1" t="s">
        <v>104</v>
      </c>
      <c r="AN23" s="1"/>
      <c r="AO23" s="1"/>
      <c r="AP23" s="1"/>
      <c r="AQ23" s="1"/>
      <c r="AS23" s="1">
        <v>20</v>
      </c>
      <c r="BB23" s="1"/>
      <c r="BD23" s="1">
        <v>20</v>
      </c>
      <c r="BM23" s="1"/>
      <c r="BO23" s="1">
        <v>20</v>
      </c>
      <c r="BP23" s="1" t="s">
        <v>25</v>
      </c>
      <c r="BQ23" s="1" t="s">
        <v>26</v>
      </c>
      <c r="BR23" s="1" t="s">
        <v>12</v>
      </c>
      <c r="BS23" s="1" t="s">
        <v>27</v>
      </c>
      <c r="BT23" s="1" t="s">
        <v>104</v>
      </c>
      <c r="BU23" s="1"/>
      <c r="BV23" s="1"/>
      <c r="BW23" s="1"/>
      <c r="BX23" s="1"/>
      <c r="BZ23" s="1">
        <v>20</v>
      </c>
      <c r="CA23" s="1" t="s">
        <v>25</v>
      </c>
      <c r="CB23" s="1" t="s">
        <v>118</v>
      </c>
      <c r="CC23" s="1" t="s">
        <v>12</v>
      </c>
      <c r="CD23" s="1" t="s">
        <v>27</v>
      </c>
      <c r="CE23" s="1" t="s">
        <v>104</v>
      </c>
      <c r="CF23" s="1"/>
      <c r="CG23" s="1"/>
      <c r="CH23" s="1"/>
      <c r="CI23" s="1"/>
      <c r="CK23" s="1">
        <v>20</v>
      </c>
      <c r="CL23" s="1" t="s">
        <v>25</v>
      </c>
      <c r="CM23" s="1" t="s">
        <v>26</v>
      </c>
      <c r="CN23" s="1" t="s">
        <v>12</v>
      </c>
      <c r="CO23" s="1" t="s">
        <v>27</v>
      </c>
      <c r="CP23" s="1" t="s">
        <v>104</v>
      </c>
      <c r="CQ23" s="1"/>
      <c r="CR23" s="1"/>
      <c r="CS23" s="1"/>
      <c r="CT23" s="1"/>
    </row>
    <row r="24" spans="1:98" x14ac:dyDescent="0.35">
      <c r="A24" s="1">
        <v>21</v>
      </c>
      <c r="B24" s="1" t="s">
        <v>25</v>
      </c>
      <c r="C24" s="1" t="s">
        <v>26</v>
      </c>
      <c r="D24" s="1" t="s">
        <v>92</v>
      </c>
      <c r="E24" s="1" t="s">
        <v>27</v>
      </c>
      <c r="F24" s="1" t="s">
        <v>104</v>
      </c>
      <c r="G24" s="1" t="s">
        <v>106</v>
      </c>
      <c r="H24" s="1"/>
      <c r="I24" s="1">
        <v>2</v>
      </c>
      <c r="J24" s="1"/>
      <c r="L24" s="1">
        <v>21</v>
      </c>
      <c r="M24" s="1" t="s">
        <v>25</v>
      </c>
      <c r="N24" s="1" t="s">
        <v>26</v>
      </c>
      <c r="O24" s="1" t="s">
        <v>92</v>
      </c>
      <c r="P24" s="1" t="s">
        <v>27</v>
      </c>
      <c r="Q24" s="1" t="s">
        <v>104</v>
      </c>
      <c r="R24" s="1"/>
      <c r="S24" s="1"/>
      <c r="T24" s="1">
        <v>2</v>
      </c>
      <c r="U24" s="1"/>
      <c r="W24" s="1">
        <v>21</v>
      </c>
      <c r="X24" s="1" t="s">
        <v>25</v>
      </c>
      <c r="Y24" s="1" t="s">
        <v>26</v>
      </c>
      <c r="Z24" s="1" t="s">
        <v>92</v>
      </c>
      <c r="AA24" s="1" t="s">
        <v>27</v>
      </c>
      <c r="AB24" s="1" t="s">
        <v>104</v>
      </c>
      <c r="AC24" s="1"/>
      <c r="AD24" s="1"/>
      <c r="AE24" s="1">
        <v>2</v>
      </c>
      <c r="AF24" s="1"/>
      <c r="AH24" s="1">
        <v>21</v>
      </c>
      <c r="AI24" s="1" t="s">
        <v>25</v>
      </c>
      <c r="AJ24" s="1" t="s">
        <v>26</v>
      </c>
      <c r="AK24" s="1" t="s">
        <v>92</v>
      </c>
      <c r="AL24" s="1" t="s">
        <v>27</v>
      </c>
      <c r="AM24" s="1" t="s">
        <v>104</v>
      </c>
      <c r="AN24" s="1"/>
      <c r="AO24" s="1"/>
      <c r="AP24" s="1"/>
      <c r="AQ24" s="1"/>
      <c r="AS24" s="1">
        <v>21</v>
      </c>
      <c r="AT24" s="1" t="s">
        <v>25</v>
      </c>
      <c r="AU24" s="1" t="s">
        <v>26</v>
      </c>
      <c r="AV24" s="1" t="s">
        <v>92</v>
      </c>
      <c r="AW24" s="1" t="s">
        <v>27</v>
      </c>
      <c r="AX24" s="1" t="s">
        <v>104</v>
      </c>
      <c r="AY24" s="1" t="s">
        <v>106</v>
      </c>
      <c r="AZ24" s="1"/>
      <c r="BA24" s="1">
        <v>2</v>
      </c>
      <c r="BB24" s="1"/>
      <c r="BD24" s="1">
        <v>21</v>
      </c>
      <c r="BE24" s="1" t="s">
        <v>25</v>
      </c>
      <c r="BF24" s="1" t="s">
        <v>118</v>
      </c>
      <c r="BG24" s="1" t="s">
        <v>92</v>
      </c>
      <c r="BH24" s="1" t="s">
        <v>27</v>
      </c>
      <c r="BI24" s="1" t="s">
        <v>104</v>
      </c>
      <c r="BJ24" s="1" t="s">
        <v>106</v>
      </c>
      <c r="BK24" s="1"/>
      <c r="BL24" s="1">
        <v>2</v>
      </c>
      <c r="BM24" s="1"/>
      <c r="BO24" s="1">
        <v>21</v>
      </c>
      <c r="BP24" s="1" t="s">
        <v>25</v>
      </c>
      <c r="BQ24" s="1" t="s">
        <v>26</v>
      </c>
      <c r="BR24" s="15" t="s">
        <v>92</v>
      </c>
      <c r="BS24" s="1" t="s">
        <v>27</v>
      </c>
      <c r="BT24" s="1" t="s">
        <v>104</v>
      </c>
      <c r="BU24" s="1" t="s">
        <v>106</v>
      </c>
      <c r="BV24" s="1"/>
      <c r="BW24" s="1">
        <v>2</v>
      </c>
      <c r="BX24" s="1"/>
      <c r="BZ24" s="1">
        <v>21</v>
      </c>
      <c r="CA24" s="1"/>
      <c r="CB24" s="1"/>
      <c r="CC24" s="15"/>
      <c r="CD24" s="1"/>
      <c r="CE24" s="1"/>
      <c r="CF24" s="1"/>
      <c r="CG24" s="1"/>
      <c r="CH24" s="1"/>
      <c r="CI24" s="1"/>
      <c r="CK24" s="1">
        <v>21</v>
      </c>
      <c r="CL24" s="1" t="s">
        <v>25</v>
      </c>
      <c r="CM24" s="1" t="s">
        <v>26</v>
      </c>
      <c r="CN24" s="15" t="s">
        <v>92</v>
      </c>
      <c r="CO24" s="1" t="s">
        <v>27</v>
      </c>
      <c r="CP24" s="1" t="s">
        <v>104</v>
      </c>
      <c r="CQ24" s="1" t="s">
        <v>106</v>
      </c>
      <c r="CR24" s="1"/>
      <c r="CS24" s="1">
        <v>2</v>
      </c>
      <c r="CT24" s="1"/>
    </row>
    <row r="25" spans="1:98" x14ac:dyDescent="0.35">
      <c r="B25" s="1" t="s">
        <v>25</v>
      </c>
      <c r="C25" s="1" t="s">
        <v>26</v>
      </c>
      <c r="D25" s="1" t="s">
        <v>92</v>
      </c>
      <c r="E25" s="1" t="s">
        <v>27</v>
      </c>
      <c r="F25" s="1" t="s">
        <v>104</v>
      </c>
      <c r="G25" s="1" t="s">
        <v>106</v>
      </c>
      <c r="H25" s="1"/>
      <c r="I25" s="1"/>
      <c r="M25" s="1" t="s">
        <v>25</v>
      </c>
      <c r="N25" s="1" t="s">
        <v>26</v>
      </c>
      <c r="O25" s="1" t="s">
        <v>92</v>
      </c>
      <c r="P25" s="1" t="s">
        <v>27</v>
      </c>
      <c r="Q25" s="1" t="s">
        <v>104</v>
      </c>
      <c r="R25" s="1"/>
      <c r="S25" s="1"/>
      <c r="T25" s="1"/>
      <c r="X25" s="15" t="s">
        <v>25</v>
      </c>
      <c r="Y25" s="15" t="s">
        <v>26</v>
      </c>
      <c r="Z25" s="15" t="s">
        <v>12</v>
      </c>
      <c r="AA25" s="15" t="s">
        <v>27</v>
      </c>
      <c r="AB25" s="1" t="s">
        <v>104</v>
      </c>
      <c r="AI25" s="1" t="s">
        <v>25</v>
      </c>
      <c r="AJ25" s="1" t="s">
        <v>26</v>
      </c>
      <c r="AK25" s="1" t="s">
        <v>92</v>
      </c>
      <c r="AL25" s="1" t="s">
        <v>27</v>
      </c>
      <c r="AM25" s="1" t="s">
        <v>104</v>
      </c>
      <c r="AN25" s="1"/>
      <c r="AO25" s="1"/>
      <c r="AP25" s="1"/>
      <c r="AQ25" s="1"/>
      <c r="AT25" s="1" t="s">
        <v>25</v>
      </c>
      <c r="AU25" s="1" t="s">
        <v>26</v>
      </c>
      <c r="AV25" s="15" t="s">
        <v>92</v>
      </c>
      <c r="AW25" s="1" t="s">
        <v>27</v>
      </c>
      <c r="AX25" s="1" t="s">
        <v>104</v>
      </c>
      <c r="AY25" s="1" t="s">
        <v>106</v>
      </c>
      <c r="AZ25" s="1"/>
      <c r="BA25" s="1"/>
      <c r="BE25" s="1" t="s">
        <v>25</v>
      </c>
      <c r="BF25" s="1" t="s">
        <v>118</v>
      </c>
      <c r="BG25" s="1" t="s">
        <v>92</v>
      </c>
      <c r="BH25" s="1" t="s">
        <v>27</v>
      </c>
      <c r="BI25" s="1" t="s">
        <v>104</v>
      </c>
      <c r="BJ25" s="1" t="s">
        <v>106</v>
      </c>
      <c r="BK25" s="1"/>
      <c r="BL25" s="1"/>
      <c r="BP25" s="15" t="s">
        <v>25</v>
      </c>
      <c r="BQ25" s="15" t="s">
        <v>26</v>
      </c>
      <c r="BR25" s="15" t="s">
        <v>92</v>
      </c>
      <c r="BS25" s="1" t="s">
        <v>27</v>
      </c>
      <c r="BT25" s="1" t="s">
        <v>104</v>
      </c>
      <c r="BU25" s="15" t="s">
        <v>106</v>
      </c>
      <c r="CA25" s="15"/>
      <c r="CB25" s="15"/>
      <c r="CC25" s="15"/>
      <c r="CD25" s="1"/>
      <c r="CE25" s="1"/>
      <c r="CF25" s="15"/>
      <c r="CL25" s="15" t="s">
        <v>25</v>
      </c>
      <c r="CM25" s="15" t="s">
        <v>26</v>
      </c>
      <c r="CN25" s="15" t="s">
        <v>92</v>
      </c>
      <c r="CO25" s="1" t="s">
        <v>27</v>
      </c>
      <c r="CP25" s="1" t="s">
        <v>104</v>
      </c>
      <c r="CQ25" s="15" t="s">
        <v>106</v>
      </c>
    </row>
    <row r="27" spans="1:98" x14ac:dyDescent="0.35">
      <c r="A27" s="1"/>
      <c r="B27" s="3" t="s">
        <v>1</v>
      </c>
      <c r="C27" s="3" t="s">
        <v>31</v>
      </c>
      <c r="D27" s="7" t="s">
        <v>2</v>
      </c>
      <c r="E27" s="7" t="s">
        <v>34</v>
      </c>
      <c r="F27" s="7" t="s">
        <v>36</v>
      </c>
      <c r="G27" s="7"/>
      <c r="H27" s="7"/>
      <c r="I27" s="3"/>
      <c r="J27" s="3"/>
      <c r="L27" s="1"/>
      <c r="M27" s="3" t="s">
        <v>1</v>
      </c>
      <c r="N27" s="3" t="s">
        <v>31</v>
      </c>
      <c r="O27" s="7" t="s">
        <v>2</v>
      </c>
      <c r="P27" s="7" t="s">
        <v>34</v>
      </c>
      <c r="Q27" s="7" t="s">
        <v>36</v>
      </c>
      <c r="R27" s="7"/>
      <c r="S27" s="7"/>
      <c r="T27" s="3"/>
      <c r="U27" s="3"/>
      <c r="W27" s="1"/>
      <c r="X27" s="3" t="s">
        <v>1</v>
      </c>
      <c r="Y27" s="3" t="s">
        <v>31</v>
      </c>
      <c r="Z27" s="7" t="s">
        <v>2</v>
      </c>
      <c r="AA27" s="7" t="s">
        <v>34</v>
      </c>
      <c r="AB27" s="7" t="s">
        <v>36</v>
      </c>
      <c r="AC27" s="7"/>
      <c r="AD27" s="7"/>
      <c r="AE27" s="3"/>
      <c r="AF27" s="3"/>
      <c r="AH27" s="1"/>
      <c r="AI27" s="3" t="s">
        <v>1</v>
      </c>
      <c r="AJ27" s="3" t="s">
        <v>31</v>
      </c>
      <c r="AK27" s="7" t="s">
        <v>2</v>
      </c>
      <c r="AL27" s="7" t="s">
        <v>34</v>
      </c>
      <c r="AM27" s="7" t="s">
        <v>36</v>
      </c>
      <c r="AN27" s="7"/>
      <c r="AO27" s="7"/>
      <c r="AP27" s="3"/>
      <c r="AQ27" s="3"/>
      <c r="AS27" s="1"/>
      <c r="AT27" s="3" t="s">
        <v>1</v>
      </c>
      <c r="AU27" s="3" t="s">
        <v>31</v>
      </c>
      <c r="AV27" s="7" t="s">
        <v>2</v>
      </c>
      <c r="AW27" s="7" t="s">
        <v>34</v>
      </c>
      <c r="AX27" s="7" t="s">
        <v>36</v>
      </c>
      <c r="AY27" s="7"/>
      <c r="AZ27" s="7"/>
      <c r="BA27" s="3"/>
      <c r="BB27" s="3"/>
      <c r="BD27" s="1"/>
      <c r="BE27" s="3" t="s">
        <v>1</v>
      </c>
      <c r="BF27" s="3" t="s">
        <v>31</v>
      </c>
      <c r="BG27" s="7" t="s">
        <v>2</v>
      </c>
      <c r="BH27" s="7" t="s">
        <v>34</v>
      </c>
      <c r="BI27" s="7" t="s">
        <v>36</v>
      </c>
      <c r="BJ27" s="7"/>
      <c r="BK27" s="7"/>
      <c r="BL27" s="3"/>
      <c r="BM27" s="3"/>
      <c r="BO27" s="1"/>
      <c r="BP27" s="3" t="s">
        <v>1</v>
      </c>
      <c r="BQ27" s="3" t="s">
        <v>31</v>
      </c>
      <c r="BR27" s="7" t="s">
        <v>2</v>
      </c>
      <c r="BS27" s="7" t="s">
        <v>34</v>
      </c>
      <c r="BT27" s="7" t="s">
        <v>36</v>
      </c>
      <c r="BU27" s="7"/>
      <c r="BV27" s="7"/>
      <c r="BW27" s="3"/>
      <c r="BX27" s="3"/>
      <c r="BZ27" s="1"/>
      <c r="CA27" s="3" t="s">
        <v>1</v>
      </c>
      <c r="CB27" s="3" t="s">
        <v>31</v>
      </c>
      <c r="CC27" s="7" t="s">
        <v>2</v>
      </c>
      <c r="CD27" s="7" t="s">
        <v>34</v>
      </c>
      <c r="CE27" s="7" t="s">
        <v>36</v>
      </c>
      <c r="CF27" s="7"/>
      <c r="CG27" s="7"/>
      <c r="CH27" s="3"/>
      <c r="CI27" s="3"/>
      <c r="CK27" s="1"/>
      <c r="CL27" s="3" t="s">
        <v>1</v>
      </c>
      <c r="CM27" s="3" t="s">
        <v>31</v>
      </c>
      <c r="CN27" s="7" t="s">
        <v>2</v>
      </c>
      <c r="CO27" s="7" t="s">
        <v>34</v>
      </c>
      <c r="CP27" s="7" t="s">
        <v>36</v>
      </c>
      <c r="CQ27" s="7"/>
      <c r="CR27" s="7"/>
      <c r="CS27" s="3"/>
      <c r="CT27" s="3"/>
    </row>
    <row r="28" spans="1:98" ht="19.5" x14ac:dyDescent="0.35">
      <c r="A28" s="2" t="s">
        <v>0</v>
      </c>
      <c r="B28" s="3" t="s">
        <v>30</v>
      </c>
      <c r="C28" s="3" t="s">
        <v>32</v>
      </c>
      <c r="D28" s="7" t="s">
        <v>33</v>
      </c>
      <c r="E28" s="7" t="s">
        <v>35</v>
      </c>
      <c r="F28" s="7" t="s">
        <v>37</v>
      </c>
      <c r="G28" s="7" t="s">
        <v>38</v>
      </c>
      <c r="H28" s="7" t="s">
        <v>14</v>
      </c>
      <c r="I28" s="3" t="s">
        <v>39</v>
      </c>
      <c r="J28" s="3" t="s">
        <v>40</v>
      </c>
      <c r="L28" s="2" t="s">
        <v>0</v>
      </c>
      <c r="M28" s="3" t="s">
        <v>30</v>
      </c>
      <c r="N28" s="3" t="s">
        <v>32</v>
      </c>
      <c r="O28" s="7" t="s">
        <v>33</v>
      </c>
      <c r="P28" s="7" t="s">
        <v>35</v>
      </c>
      <c r="Q28" s="7" t="s">
        <v>37</v>
      </c>
      <c r="R28" s="7" t="s">
        <v>38</v>
      </c>
      <c r="S28" s="7" t="s">
        <v>14</v>
      </c>
      <c r="T28" s="3" t="s">
        <v>39</v>
      </c>
      <c r="U28" s="3" t="s">
        <v>40</v>
      </c>
      <c r="W28" s="2" t="s">
        <v>0</v>
      </c>
      <c r="X28" s="3" t="s">
        <v>30</v>
      </c>
      <c r="Y28" s="3" t="s">
        <v>32</v>
      </c>
      <c r="Z28" s="7" t="s">
        <v>33</v>
      </c>
      <c r="AA28" s="7" t="s">
        <v>35</v>
      </c>
      <c r="AB28" s="7" t="s">
        <v>37</v>
      </c>
      <c r="AC28" s="7" t="s">
        <v>38</v>
      </c>
      <c r="AD28" s="7" t="s">
        <v>14</v>
      </c>
      <c r="AE28" s="3" t="s">
        <v>39</v>
      </c>
      <c r="AF28" s="3" t="s">
        <v>40</v>
      </c>
      <c r="AH28" s="2" t="s">
        <v>0</v>
      </c>
      <c r="AI28" s="3" t="s">
        <v>30</v>
      </c>
      <c r="AJ28" s="3" t="s">
        <v>32</v>
      </c>
      <c r="AK28" s="7" t="s">
        <v>33</v>
      </c>
      <c r="AL28" s="7" t="s">
        <v>35</v>
      </c>
      <c r="AM28" s="7" t="s">
        <v>37</v>
      </c>
      <c r="AN28" s="7" t="s">
        <v>38</v>
      </c>
      <c r="AO28" s="7" t="s">
        <v>14</v>
      </c>
      <c r="AP28" s="3" t="s">
        <v>39</v>
      </c>
      <c r="AQ28" s="3" t="s">
        <v>40</v>
      </c>
      <c r="AS28" s="2" t="s">
        <v>0</v>
      </c>
      <c r="AT28" s="3" t="s">
        <v>30</v>
      </c>
      <c r="AU28" s="3" t="s">
        <v>32</v>
      </c>
      <c r="AV28" s="7" t="s">
        <v>33</v>
      </c>
      <c r="AW28" s="7" t="s">
        <v>35</v>
      </c>
      <c r="AX28" s="7" t="s">
        <v>37</v>
      </c>
      <c r="AY28" s="7" t="s">
        <v>38</v>
      </c>
      <c r="AZ28" s="7" t="s">
        <v>14</v>
      </c>
      <c r="BA28" s="3" t="s">
        <v>39</v>
      </c>
      <c r="BB28" s="3" t="s">
        <v>40</v>
      </c>
      <c r="BD28" s="2" t="s">
        <v>0</v>
      </c>
      <c r="BE28" s="3" t="s">
        <v>30</v>
      </c>
      <c r="BF28" s="3" t="s">
        <v>32</v>
      </c>
      <c r="BG28" s="7" t="s">
        <v>33</v>
      </c>
      <c r="BH28" s="7" t="s">
        <v>35</v>
      </c>
      <c r="BI28" s="7" t="s">
        <v>37</v>
      </c>
      <c r="BJ28" s="7" t="s">
        <v>38</v>
      </c>
      <c r="BK28" s="7" t="s">
        <v>14</v>
      </c>
      <c r="BL28" s="3" t="s">
        <v>39</v>
      </c>
      <c r="BM28" s="3" t="s">
        <v>40</v>
      </c>
      <c r="BO28" s="2" t="s">
        <v>0</v>
      </c>
      <c r="BP28" s="3" t="s">
        <v>30</v>
      </c>
      <c r="BQ28" s="3" t="s">
        <v>32</v>
      </c>
      <c r="BR28" s="7" t="s">
        <v>33</v>
      </c>
      <c r="BS28" s="7" t="s">
        <v>35</v>
      </c>
      <c r="BT28" s="7" t="s">
        <v>37</v>
      </c>
      <c r="BU28" s="7" t="s">
        <v>38</v>
      </c>
      <c r="BV28" s="7" t="s">
        <v>14</v>
      </c>
      <c r="BW28" s="3" t="s">
        <v>39</v>
      </c>
      <c r="BX28" s="3" t="s">
        <v>40</v>
      </c>
      <c r="BZ28" s="2" t="s">
        <v>0</v>
      </c>
      <c r="CA28" s="3" t="s">
        <v>30</v>
      </c>
      <c r="CB28" s="3" t="s">
        <v>32</v>
      </c>
      <c r="CC28" s="7" t="s">
        <v>33</v>
      </c>
      <c r="CD28" s="7" t="s">
        <v>35</v>
      </c>
      <c r="CE28" s="7" t="s">
        <v>37</v>
      </c>
      <c r="CF28" s="7" t="s">
        <v>38</v>
      </c>
      <c r="CG28" s="7" t="s">
        <v>14</v>
      </c>
      <c r="CH28" s="3" t="s">
        <v>39</v>
      </c>
      <c r="CI28" s="3" t="s">
        <v>40</v>
      </c>
      <c r="CK28" s="2" t="s">
        <v>0</v>
      </c>
      <c r="CL28" s="3" t="s">
        <v>30</v>
      </c>
      <c r="CM28" s="3" t="s">
        <v>32</v>
      </c>
      <c r="CN28" s="7" t="s">
        <v>33</v>
      </c>
      <c r="CO28" s="7" t="s">
        <v>35</v>
      </c>
      <c r="CP28" s="7" t="s">
        <v>37</v>
      </c>
      <c r="CQ28" s="7" t="s">
        <v>38</v>
      </c>
      <c r="CR28" s="7" t="s">
        <v>14</v>
      </c>
      <c r="CS28" s="3" t="s">
        <v>39</v>
      </c>
      <c r="CT28" s="3" t="s">
        <v>40</v>
      </c>
    </row>
    <row r="29" spans="1:98" x14ac:dyDescent="0.35">
      <c r="A29" s="1">
        <v>1</v>
      </c>
      <c r="B29" s="1" t="str">
        <f>IF(B4="M","1",IF(B4="F","2",""))</f>
        <v>1</v>
      </c>
      <c r="C29" s="1" t="str">
        <f>IF(C4="T","1",IF(C4="A","2",IF(C4="OA","3","")))</f>
        <v>2</v>
      </c>
      <c r="D29" s="1" t="str">
        <f>IF(D4="W","1",IF(D4="OE","2",""))</f>
        <v>1</v>
      </c>
      <c r="E29" s="1" t="str">
        <f>IF(E4="S","1",IF(E4="WR","2",""))</f>
        <v>1</v>
      </c>
      <c r="F29" s="1" t="str">
        <f>IF(F4="SED","1",IF(F4="WALK","2",""))</f>
        <v>1</v>
      </c>
      <c r="G29" s="1" t="str">
        <f>IF(G4="CON","1","2")</f>
        <v>2</v>
      </c>
      <c r="H29" s="1"/>
      <c r="I29" s="1"/>
      <c r="J29" s="1"/>
      <c r="L29" s="1">
        <v>1</v>
      </c>
      <c r="M29" s="1" t="str">
        <f>IF(M4="M","1",IF(M4="F","2",""))</f>
        <v>1</v>
      </c>
      <c r="N29" s="1" t="str">
        <f>IF(N4="T","1",IF(N4="A","2",IF(N4="OA","3","")))</f>
        <v>2</v>
      </c>
      <c r="O29" s="1" t="str">
        <f>IF(O4="W","1",IF(O4="OE","2",""))</f>
        <v>1</v>
      </c>
      <c r="P29" s="1" t="str">
        <f>IF(P4="S","1",IF(P4="WR","2",""))</f>
        <v>1</v>
      </c>
      <c r="Q29" s="1" t="str">
        <f>IF(Q4="SED","1",IF(Q4="WALK","2",""))</f>
        <v>1</v>
      </c>
      <c r="R29" s="1" t="str">
        <f>IF(R4="CON","1","2")</f>
        <v>2</v>
      </c>
      <c r="S29" s="1"/>
      <c r="T29" s="1"/>
      <c r="U29" s="1"/>
      <c r="W29" s="1">
        <v>1</v>
      </c>
      <c r="X29" s="1" t="str">
        <f>IF(X4="M","1",IF(X4="F","2",""))</f>
        <v>1</v>
      </c>
      <c r="Y29" s="1" t="str">
        <f>IF(Y4="T","1",IF(Y4="A","2",IF(Y4="OA","3","")))</f>
        <v>2</v>
      </c>
      <c r="Z29" s="1" t="str">
        <f>IF(Z4="W","1",IF(Z4="OE","2",""))</f>
        <v>1</v>
      </c>
      <c r="AA29" s="1" t="str">
        <f>IF(AA4="S","1",IF(AA4="WR","2",""))</f>
        <v>1</v>
      </c>
      <c r="AB29" s="1" t="str">
        <f>IF(AB4="SED","1",IF(AB4="WALK","2",""))</f>
        <v>1</v>
      </c>
      <c r="AC29" s="1" t="str">
        <f>IF(AC4="CON","1","2")</f>
        <v>2</v>
      </c>
      <c r="AD29" s="1"/>
      <c r="AE29" s="1"/>
      <c r="AF29" s="1"/>
      <c r="AH29" s="1">
        <v>1</v>
      </c>
      <c r="AI29" s="1" t="str">
        <f>IF(AI4="M","1",IF(AI4="F","2",""))</f>
        <v>1</v>
      </c>
      <c r="AJ29" s="1" t="str">
        <f>IF(AJ4="T","1",IF(AJ4="A","2",IF(AJ4="OA","3","")))</f>
        <v>2</v>
      </c>
      <c r="AK29" s="1" t="str">
        <f>IF(AK4="W","1",IF(AK4="OE","2",""))</f>
        <v>1</v>
      </c>
      <c r="AL29" s="1" t="str">
        <f>IF(AL4="S","1",IF(AL4="WR","2",""))</f>
        <v>1</v>
      </c>
      <c r="AM29" s="1" t="str">
        <f>IF(AM4="SED","1",IF(AM4="WALK","2",""))</f>
        <v>1</v>
      </c>
      <c r="AN29" s="1" t="str">
        <f>IF(AN4="CON","1","2")</f>
        <v>2</v>
      </c>
      <c r="AO29" s="1"/>
      <c r="AP29" s="1"/>
      <c r="AQ29" s="1"/>
      <c r="AS29" s="1">
        <v>1</v>
      </c>
      <c r="AT29" s="1" t="str">
        <f>IF(AT4="M","1",IF(AT4="F","2",""))</f>
        <v>1</v>
      </c>
      <c r="AU29" s="1" t="str">
        <f>IF(AU4="T","1",IF(AU4="A","2",IF(AU4="OA","3","")))</f>
        <v>2</v>
      </c>
      <c r="AV29" s="1" t="str">
        <f>IF(AV4="W","1",IF(AV4="OE","2",""))</f>
        <v>1</v>
      </c>
      <c r="AW29" s="1" t="str">
        <f>IF(AW4="S","1",IF(AW4="WR","2",""))</f>
        <v>1</v>
      </c>
      <c r="AX29" s="1" t="str">
        <f>IF(AX4="SED","1",IF(AX4="WALK","2",""))</f>
        <v>1</v>
      </c>
      <c r="AY29" s="1" t="str">
        <f>IF(AY4="CON","1","2")</f>
        <v>2</v>
      </c>
      <c r="AZ29" s="1"/>
      <c r="BA29" s="1"/>
      <c r="BB29" s="1"/>
      <c r="BD29" s="1">
        <v>1</v>
      </c>
      <c r="BE29" s="1" t="str">
        <f>IF(BE4="M","1",IF(BE4="F","2",""))</f>
        <v>1</v>
      </c>
      <c r="BF29" s="1" t="str">
        <f>IF(BF4="T","1",IF(BF4="A","2",IF(BF4="OA","3","")))</f>
        <v>2</v>
      </c>
      <c r="BG29" s="1" t="str">
        <f>IF(BG4="W","1",IF(BG4="OE","2",""))</f>
        <v>1</v>
      </c>
      <c r="BH29" s="1" t="str">
        <f>IF(BH4="S","1",IF(BH4="WR","2",""))</f>
        <v>1</v>
      </c>
      <c r="BI29" s="1" t="str">
        <f>IF(BI4="SED","1",IF(BI4="WALK","2",""))</f>
        <v>1</v>
      </c>
      <c r="BJ29" s="1" t="str">
        <f>IF(BJ4="CON","1","2")</f>
        <v>2</v>
      </c>
      <c r="BK29" s="1"/>
      <c r="BL29" s="1"/>
      <c r="BM29" s="1"/>
      <c r="BO29" s="1">
        <v>1</v>
      </c>
      <c r="BP29" s="1" t="str">
        <f>IF(BP4="M","1",IF(BP4="F","2",""))</f>
        <v>1</v>
      </c>
      <c r="BQ29" s="1" t="str">
        <f>IF(BQ4="T","1",IF(BQ4="A","2",IF(BQ4="OA","3","")))</f>
        <v>2</v>
      </c>
      <c r="BR29" s="1" t="str">
        <f>IF(BR4="W","1",IF(BR4="OE","2",""))</f>
        <v>1</v>
      </c>
      <c r="BS29" s="1" t="str">
        <f>IF(BS4="S","1",IF(BS4="WR","2",""))</f>
        <v>1</v>
      </c>
      <c r="BT29" s="1" t="str">
        <f>IF(BT4="SED","1",IF(BT4="WALK","2",""))</f>
        <v>1</v>
      </c>
      <c r="BU29" s="1" t="str">
        <f>IF(BU4="CON","1","2")</f>
        <v>2</v>
      </c>
      <c r="BV29" s="1"/>
      <c r="BW29" s="1"/>
      <c r="BX29" s="1"/>
      <c r="BZ29" s="1">
        <v>1</v>
      </c>
      <c r="CA29" s="1" t="str">
        <f>IF(CA4="M","1",IF(CA4="F","2",""))</f>
        <v>1</v>
      </c>
      <c r="CB29" s="1" t="str">
        <f>IF(CB4="T","1",IF(CB4="A","2",IF(CB4="OA","3","")))</f>
        <v>1</v>
      </c>
      <c r="CC29" s="1" t="str">
        <f>IF(CC4="W","1",IF(CC4="OE","2",""))</f>
        <v>1</v>
      </c>
      <c r="CD29" s="1" t="str">
        <f>IF(CD4="S","1",IF(CD4="WR","2",""))</f>
        <v>1</v>
      </c>
      <c r="CE29" s="1" t="str">
        <f>IF(CE4="SED","1",IF(CE4="WALK","2",""))</f>
        <v>1</v>
      </c>
      <c r="CF29" s="1" t="str">
        <f>IF(CF4="CON","1","2")</f>
        <v>2</v>
      </c>
      <c r="CG29" s="1"/>
      <c r="CH29" s="1"/>
      <c r="CI29" s="1"/>
      <c r="CK29" s="1">
        <v>1</v>
      </c>
      <c r="CL29" s="1" t="str">
        <f>IF(CL4="M","1",IF(CL4="F","2",""))</f>
        <v>1</v>
      </c>
      <c r="CM29" s="1" t="str">
        <f>IF(CM4="T","1",IF(CM4="A","2",IF(CM4="OA","3","")))</f>
        <v>1</v>
      </c>
      <c r="CN29" s="1" t="str">
        <f>IF(CN4="W","1",IF(CN4="OE","2",""))</f>
        <v>1</v>
      </c>
      <c r="CO29" s="1" t="str">
        <f>IF(CO4="S","1",IF(CO4="WR","2",""))</f>
        <v>1</v>
      </c>
      <c r="CP29" s="1" t="str">
        <f>IF(CP4="SED","1",IF(CP4="WALK","2",""))</f>
        <v>1</v>
      </c>
      <c r="CQ29" s="1" t="str">
        <f>IF(CQ4="CON","1","2")</f>
        <v>2</v>
      </c>
      <c r="CR29" s="1"/>
      <c r="CS29" s="1"/>
      <c r="CT29" s="1"/>
    </row>
    <row r="30" spans="1:98" x14ac:dyDescent="0.35">
      <c r="A30" s="1">
        <v>2</v>
      </c>
      <c r="B30" s="1" t="str">
        <f t="shared" ref="B30:B50" si="0">IF(B5="M","1",IF(B5="F","2",""))</f>
        <v>1</v>
      </c>
      <c r="C30" s="1" t="str">
        <f t="shared" ref="C30:C50" si="1">IF(C5="T","1",IF(C5="A","2",IF(C5="OA","3","")))</f>
        <v>2</v>
      </c>
      <c r="D30" s="1" t="str">
        <f t="shared" ref="D30:D50" si="2">IF(D5="W","1",IF(D5="OE","2",""))</f>
        <v>1</v>
      </c>
      <c r="E30" s="1" t="str">
        <f t="shared" ref="E30:E50" si="3">IF(E5="S","1",IF(E5="WR","2",""))</f>
        <v>2</v>
      </c>
      <c r="F30" s="1" t="str">
        <f t="shared" ref="F30:F50" si="4">IF(F5="SED","1",IF(F5="WALK","2",""))</f>
        <v>2</v>
      </c>
      <c r="G30" s="1" t="str">
        <f t="shared" ref="G30:G50" si="5">IF(G5="CON","1","2")</f>
        <v>2</v>
      </c>
      <c r="H30" s="1"/>
      <c r="I30" s="1"/>
      <c r="J30" s="1"/>
      <c r="L30" s="1">
        <v>2</v>
      </c>
      <c r="M30" s="1" t="str">
        <f t="shared" ref="M30:M50" si="6">IF(M5="M","1",IF(M5="F","2",""))</f>
        <v>1</v>
      </c>
      <c r="N30" s="1" t="str">
        <f t="shared" ref="N30:N50" si="7">IF(N5="T","1",IF(N5="A","2",IF(N5="OA","3","")))</f>
        <v>2</v>
      </c>
      <c r="O30" s="1" t="str">
        <f t="shared" ref="O30:O50" si="8">IF(O5="W","1",IF(O5="OE","2",""))</f>
        <v>1</v>
      </c>
      <c r="P30" s="1" t="str">
        <f t="shared" ref="P30:P50" si="9">IF(P5="S","1",IF(P5="WR","2",""))</f>
        <v>2</v>
      </c>
      <c r="Q30" s="1" t="str">
        <f t="shared" ref="Q30:Q50" si="10">IF(Q5="SED","1",IF(Q5="WALK","2",""))</f>
        <v>2</v>
      </c>
      <c r="R30" s="1" t="str">
        <f t="shared" ref="R30:R50" si="11">IF(R5="CON","1","2")</f>
        <v>2</v>
      </c>
      <c r="S30" s="1"/>
      <c r="T30" s="1"/>
      <c r="U30" s="1"/>
      <c r="W30" s="1">
        <v>2</v>
      </c>
      <c r="X30" s="1" t="str">
        <f t="shared" ref="X30:X50" si="12">IF(X5="M","1",IF(X5="F","2",""))</f>
        <v>2</v>
      </c>
      <c r="Y30" s="1" t="str">
        <f t="shared" ref="Y30:Y50" si="13">IF(Y5="T","1",IF(Y5="A","2",IF(Y5="OA","3","")))</f>
        <v>2</v>
      </c>
      <c r="Z30" s="1" t="str">
        <f t="shared" ref="Z30:Z50" si="14">IF(Z5="W","1",IF(Z5="OE","2",""))</f>
        <v>1</v>
      </c>
      <c r="AA30" s="1" t="str">
        <f t="shared" ref="AA30:AA50" si="15">IF(AA5="S","1",IF(AA5="WR","2",""))</f>
        <v>2</v>
      </c>
      <c r="AB30" s="1" t="str">
        <f t="shared" ref="AB30:AB50" si="16">IF(AB5="SED","1",IF(AB5="WALK","2",""))</f>
        <v>2</v>
      </c>
      <c r="AC30" s="1" t="str">
        <f t="shared" ref="AC30:AC50" si="17">IF(AC5="CON","1","2")</f>
        <v>2</v>
      </c>
      <c r="AD30" s="1"/>
      <c r="AE30" s="1"/>
      <c r="AF30" s="1"/>
      <c r="AH30" s="1">
        <v>2</v>
      </c>
      <c r="AI30" s="1" t="str">
        <f t="shared" ref="AI30:AI50" si="18">IF(AI5="M","1",IF(AI5="F","2",""))</f>
        <v>1</v>
      </c>
      <c r="AJ30" s="1" t="str">
        <f t="shared" ref="AJ30:AJ50" si="19">IF(AJ5="T","1",IF(AJ5="A","2",IF(AJ5="OA","3","")))</f>
        <v>2</v>
      </c>
      <c r="AK30" s="1" t="str">
        <f t="shared" ref="AK30:AK50" si="20">IF(AK5="W","1",IF(AK5="OE","2",""))</f>
        <v>1</v>
      </c>
      <c r="AL30" s="1" t="str">
        <f t="shared" ref="AL30:AL50" si="21">IF(AL5="S","1",IF(AL5="WR","2",""))</f>
        <v>2</v>
      </c>
      <c r="AM30" s="1" t="str">
        <f t="shared" ref="AM30:AM50" si="22">IF(AM5="SED","1",IF(AM5="WALK","2",""))</f>
        <v>2</v>
      </c>
      <c r="AN30" s="1" t="str">
        <f t="shared" ref="AN30:AN50" si="23">IF(AN5="CON","1","2")</f>
        <v>2</v>
      </c>
      <c r="AO30" s="1"/>
      <c r="AP30" s="1"/>
      <c r="AQ30" s="1"/>
      <c r="AS30" s="1">
        <v>2</v>
      </c>
      <c r="AT30" s="1" t="str">
        <f t="shared" ref="AT30:AT50" si="24">IF(AT5="M","1",IF(AT5="F","2",""))</f>
        <v>1</v>
      </c>
      <c r="AU30" s="1" t="str">
        <f t="shared" ref="AU30:AU50" si="25">IF(AU5="T","1",IF(AU5="A","2",IF(AU5="OA","3","")))</f>
        <v>2</v>
      </c>
      <c r="AV30" s="1" t="str">
        <f t="shared" ref="AV30:AV50" si="26">IF(AV5="W","1",IF(AV5="OE","2",""))</f>
        <v>1</v>
      </c>
      <c r="AW30" s="1" t="str">
        <f t="shared" ref="AW30:AW50" si="27">IF(AW5="S","1",IF(AW5="WR","2",""))</f>
        <v>2</v>
      </c>
      <c r="AX30" s="1" t="str">
        <f t="shared" ref="AX30:AX50" si="28">IF(AX5="SED","1",IF(AX5="WALK","2",""))</f>
        <v>2</v>
      </c>
      <c r="AY30" s="1" t="str">
        <f t="shared" ref="AY30:AY50" si="29">IF(AY5="CON","1","2")</f>
        <v>2</v>
      </c>
      <c r="AZ30" s="1"/>
      <c r="BA30" s="1"/>
      <c r="BB30" s="1"/>
      <c r="BD30" s="1">
        <v>2</v>
      </c>
      <c r="BE30" s="1" t="str">
        <f t="shared" ref="BE30:BE50" si="30">IF(BE5="M","1",IF(BE5="F","2",""))</f>
        <v>2</v>
      </c>
      <c r="BF30" s="1" t="str">
        <f t="shared" ref="BF30:BF50" si="31">IF(BF5="T","1",IF(BF5="A","2",IF(BF5="OA","3","")))</f>
        <v>1</v>
      </c>
      <c r="BG30" s="1" t="str">
        <f t="shared" ref="BG30:BG50" si="32">IF(BG5="W","1",IF(BG5="OE","2",""))</f>
        <v>1</v>
      </c>
      <c r="BH30" s="1" t="str">
        <f t="shared" ref="BH30:BH50" si="33">IF(BH5="S","1",IF(BH5="WR","2",""))</f>
        <v>2</v>
      </c>
      <c r="BI30" s="1" t="str">
        <f t="shared" ref="BI30:BI50" si="34">IF(BI5="SED","1",IF(BI5="WALK","2",""))</f>
        <v>2</v>
      </c>
      <c r="BJ30" s="1" t="str">
        <f t="shared" ref="BJ30:BJ50" si="35">IF(BJ5="CON","1","2")</f>
        <v>1</v>
      </c>
      <c r="BK30" s="1"/>
      <c r="BL30" s="1"/>
      <c r="BM30" s="1"/>
      <c r="BO30" s="1">
        <v>2</v>
      </c>
      <c r="BP30" s="1" t="str">
        <f t="shared" ref="BP30:BP50" si="36">IF(BP5="M","1",IF(BP5="F","2",""))</f>
        <v>1</v>
      </c>
      <c r="BQ30" s="1" t="str">
        <f t="shared" ref="BQ30:BQ50" si="37">IF(BQ5="T","1",IF(BQ5="A","2",IF(BQ5="OA","3","")))</f>
        <v>2</v>
      </c>
      <c r="BR30" s="1" t="str">
        <f t="shared" ref="BR30:BR50" si="38">IF(BR5="W","1",IF(BR5="OE","2",""))</f>
        <v>1</v>
      </c>
      <c r="BS30" s="1" t="str">
        <f t="shared" ref="BS30:BS50" si="39">IF(BS5="S","1",IF(BS5="WR","2",""))</f>
        <v>2</v>
      </c>
      <c r="BT30" s="1" t="str">
        <f t="shared" ref="BT30:BT50" si="40">IF(BT5="SED","1",IF(BT5="WALK","2",""))</f>
        <v>2</v>
      </c>
      <c r="BU30" s="1" t="str">
        <f t="shared" ref="BU30:BU50" si="41">IF(BU5="CON","1","2")</f>
        <v>1</v>
      </c>
      <c r="BV30" s="1"/>
      <c r="BW30" s="1"/>
      <c r="BX30" s="1"/>
      <c r="BZ30" s="1">
        <v>2</v>
      </c>
      <c r="CA30" s="1" t="str">
        <f t="shared" ref="CA30:CA50" si="42">IF(CA5="M","1",IF(CA5="F","2",""))</f>
        <v>1</v>
      </c>
      <c r="CB30" s="1" t="str">
        <f t="shared" ref="CB30:CB50" si="43">IF(CB5="T","1",IF(CB5="A","2",IF(CB5="OA","3","")))</f>
        <v>1</v>
      </c>
      <c r="CC30" s="1" t="str">
        <f t="shared" ref="CC30:CC50" si="44">IF(CC5="W","1",IF(CC5="OE","2",""))</f>
        <v>1</v>
      </c>
      <c r="CD30" s="1" t="str">
        <f t="shared" ref="CD30:CD50" si="45">IF(CD5="S","1",IF(CD5="WR","2",""))</f>
        <v>2</v>
      </c>
      <c r="CE30" s="1" t="str">
        <f t="shared" ref="CE30:CE50" si="46">IF(CE5="SED","1",IF(CE5="WALK","2",""))</f>
        <v>2</v>
      </c>
      <c r="CF30" s="1" t="str">
        <f t="shared" ref="CF30:CF50" si="47">IF(CF5="CON","1","2")</f>
        <v>2</v>
      </c>
      <c r="CG30" s="1"/>
      <c r="CH30" s="1"/>
      <c r="CI30" s="1"/>
      <c r="CK30" s="1">
        <v>2</v>
      </c>
      <c r="CL30" s="1" t="str">
        <f t="shared" ref="CL30:CL50" si="48">IF(CL5="M","1",IF(CL5="F","2",""))</f>
        <v>1</v>
      </c>
      <c r="CM30" s="1" t="str">
        <f t="shared" ref="CM30:CM50" si="49">IF(CM5="T","1",IF(CM5="A","2",IF(CM5="OA","3","")))</f>
        <v>1</v>
      </c>
      <c r="CN30" s="1" t="str">
        <f t="shared" ref="CN30:CN50" si="50">IF(CN5="W","1",IF(CN5="OE","2",""))</f>
        <v>1</v>
      </c>
      <c r="CO30" s="1" t="str">
        <f t="shared" ref="CO30:CO50" si="51">IF(CO5="S","1",IF(CO5="WR","2",""))</f>
        <v>2</v>
      </c>
      <c r="CP30" s="1" t="str">
        <f t="shared" ref="CP30:CP50" si="52">IF(CP5="SED","1",IF(CP5="WALK","2",""))</f>
        <v>2</v>
      </c>
      <c r="CQ30" s="1" t="str">
        <f t="shared" ref="CQ30:CQ50" si="53">IF(CQ5="CON","1","2")</f>
        <v>1</v>
      </c>
      <c r="CR30" s="1"/>
      <c r="CS30" s="1"/>
      <c r="CT30" s="1"/>
    </row>
    <row r="31" spans="1:98" x14ac:dyDescent="0.35">
      <c r="A31" s="1">
        <v>3</v>
      </c>
      <c r="B31" s="1" t="str">
        <f t="shared" si="0"/>
        <v>2</v>
      </c>
      <c r="C31" s="1" t="str">
        <f t="shared" si="1"/>
        <v>2</v>
      </c>
      <c r="D31" s="1" t="str">
        <f t="shared" si="2"/>
        <v>1</v>
      </c>
      <c r="E31" s="1" t="str">
        <f t="shared" si="3"/>
        <v>2</v>
      </c>
      <c r="F31" s="1" t="str">
        <f t="shared" si="4"/>
        <v>2</v>
      </c>
      <c r="G31" s="1" t="str">
        <f t="shared" si="5"/>
        <v>2</v>
      </c>
      <c r="H31" s="1"/>
      <c r="I31" s="1"/>
      <c r="J31" s="1"/>
      <c r="L31" s="1">
        <v>3</v>
      </c>
      <c r="M31" s="1" t="str">
        <f t="shared" si="6"/>
        <v>2</v>
      </c>
      <c r="N31" s="1" t="str">
        <f t="shared" si="7"/>
        <v>2</v>
      </c>
      <c r="O31" s="1" t="str">
        <f t="shared" si="8"/>
        <v>1</v>
      </c>
      <c r="P31" s="1" t="str">
        <f t="shared" si="9"/>
        <v>2</v>
      </c>
      <c r="Q31" s="1" t="str">
        <f t="shared" si="10"/>
        <v>2</v>
      </c>
      <c r="R31" s="1" t="str">
        <f t="shared" si="11"/>
        <v>2</v>
      </c>
      <c r="S31" s="1"/>
      <c r="T31" s="1"/>
      <c r="U31" s="1"/>
      <c r="W31" s="1">
        <v>3</v>
      </c>
      <c r="X31" s="1" t="str">
        <f t="shared" si="12"/>
        <v>2</v>
      </c>
      <c r="Y31" s="1" t="str">
        <f t="shared" si="13"/>
        <v>2</v>
      </c>
      <c r="Z31" s="1" t="str">
        <f t="shared" si="14"/>
        <v>1</v>
      </c>
      <c r="AA31" s="1" t="str">
        <f t="shared" si="15"/>
        <v>2</v>
      </c>
      <c r="AB31" s="1" t="str">
        <f t="shared" si="16"/>
        <v>2</v>
      </c>
      <c r="AC31" s="1" t="str">
        <f t="shared" si="17"/>
        <v>2</v>
      </c>
      <c r="AD31" s="1"/>
      <c r="AE31" s="1"/>
      <c r="AF31" s="1"/>
      <c r="AH31" s="1">
        <v>3</v>
      </c>
      <c r="AI31" s="1" t="str">
        <f t="shared" si="18"/>
        <v>2</v>
      </c>
      <c r="AJ31" s="1" t="str">
        <f t="shared" si="19"/>
        <v>2</v>
      </c>
      <c r="AK31" s="1" t="str">
        <f t="shared" si="20"/>
        <v>1</v>
      </c>
      <c r="AL31" s="1" t="str">
        <f t="shared" si="21"/>
        <v>2</v>
      </c>
      <c r="AM31" s="1" t="str">
        <f t="shared" si="22"/>
        <v>2</v>
      </c>
      <c r="AN31" s="1" t="str">
        <f t="shared" si="23"/>
        <v>2</v>
      </c>
      <c r="AO31" s="1"/>
      <c r="AP31" s="1"/>
      <c r="AQ31" s="1"/>
      <c r="AS31" s="1">
        <v>3</v>
      </c>
      <c r="AT31" s="1" t="str">
        <f t="shared" si="24"/>
        <v>2</v>
      </c>
      <c r="AU31" s="1" t="str">
        <f t="shared" si="25"/>
        <v>2</v>
      </c>
      <c r="AV31" s="1" t="str">
        <f t="shared" si="26"/>
        <v>1</v>
      </c>
      <c r="AW31" s="1" t="str">
        <f t="shared" si="27"/>
        <v>2</v>
      </c>
      <c r="AX31" s="1" t="str">
        <f t="shared" si="28"/>
        <v>2</v>
      </c>
      <c r="AY31" s="1" t="str">
        <f t="shared" si="29"/>
        <v>2</v>
      </c>
      <c r="AZ31" s="1"/>
      <c r="BA31" s="1"/>
      <c r="BB31" s="1"/>
      <c r="BD31" s="1">
        <v>3</v>
      </c>
      <c r="BE31" s="1" t="str">
        <f t="shared" si="30"/>
        <v>1</v>
      </c>
      <c r="BF31" s="1" t="str">
        <f t="shared" si="31"/>
        <v>1</v>
      </c>
      <c r="BG31" s="1" t="str">
        <f t="shared" si="32"/>
        <v>1</v>
      </c>
      <c r="BH31" s="1" t="str">
        <f t="shared" si="33"/>
        <v>2</v>
      </c>
      <c r="BI31" s="1" t="str">
        <f t="shared" si="34"/>
        <v>2</v>
      </c>
      <c r="BJ31" s="1" t="str">
        <f t="shared" si="35"/>
        <v>2</v>
      </c>
      <c r="BK31" s="1"/>
      <c r="BL31" s="1"/>
      <c r="BM31" s="1"/>
      <c r="BO31" s="1">
        <v>3</v>
      </c>
      <c r="BP31" s="1" t="str">
        <f t="shared" si="36"/>
        <v>2</v>
      </c>
      <c r="BQ31" s="1" t="str">
        <f t="shared" si="37"/>
        <v>2</v>
      </c>
      <c r="BR31" s="1" t="str">
        <f t="shared" si="38"/>
        <v>1</v>
      </c>
      <c r="BS31" s="1" t="str">
        <f t="shared" si="39"/>
        <v>2</v>
      </c>
      <c r="BT31" s="1" t="str">
        <f t="shared" si="40"/>
        <v>2</v>
      </c>
      <c r="BU31" s="1" t="str">
        <f t="shared" si="41"/>
        <v>1</v>
      </c>
      <c r="BV31" s="1"/>
      <c r="BW31" s="1"/>
      <c r="BX31" s="1"/>
      <c r="BZ31" s="1">
        <v>3</v>
      </c>
      <c r="CA31" s="1" t="str">
        <f t="shared" si="42"/>
        <v>2</v>
      </c>
      <c r="CB31" s="1" t="str">
        <f t="shared" si="43"/>
        <v>1</v>
      </c>
      <c r="CC31" s="1" t="str">
        <f t="shared" si="44"/>
        <v>1</v>
      </c>
      <c r="CD31" s="1" t="str">
        <f t="shared" si="45"/>
        <v>2</v>
      </c>
      <c r="CE31" s="1" t="str">
        <f t="shared" si="46"/>
        <v>2</v>
      </c>
      <c r="CF31" s="1" t="str">
        <f t="shared" si="47"/>
        <v>2</v>
      </c>
      <c r="CG31" s="1"/>
      <c r="CH31" s="1"/>
      <c r="CI31" s="1"/>
      <c r="CK31" s="1">
        <v>3</v>
      </c>
      <c r="CL31" s="1" t="str">
        <f t="shared" si="48"/>
        <v>2</v>
      </c>
      <c r="CM31" s="1" t="str">
        <f t="shared" si="49"/>
        <v>1</v>
      </c>
      <c r="CN31" s="1" t="str">
        <f t="shared" si="50"/>
        <v>1</v>
      </c>
      <c r="CO31" s="1" t="str">
        <f t="shared" si="51"/>
        <v>2</v>
      </c>
      <c r="CP31" s="1" t="str">
        <f t="shared" si="52"/>
        <v>2</v>
      </c>
      <c r="CQ31" s="1" t="str">
        <f t="shared" si="53"/>
        <v>1</v>
      </c>
      <c r="CR31" s="1"/>
      <c r="CS31" s="1"/>
      <c r="CT31" s="1"/>
    </row>
    <row r="32" spans="1:98" x14ac:dyDescent="0.35">
      <c r="A32" s="1">
        <v>4</v>
      </c>
      <c r="B32" s="1" t="str">
        <f t="shared" si="0"/>
        <v>1</v>
      </c>
      <c r="C32" s="1" t="str">
        <f t="shared" si="1"/>
        <v>2</v>
      </c>
      <c r="D32" s="1" t="str">
        <f t="shared" si="2"/>
        <v>2</v>
      </c>
      <c r="E32" s="1" t="str">
        <f t="shared" si="3"/>
        <v>2</v>
      </c>
      <c r="F32" s="1" t="str">
        <f t="shared" si="4"/>
        <v>2</v>
      </c>
      <c r="G32" s="1" t="str">
        <f t="shared" si="5"/>
        <v>2</v>
      </c>
      <c r="H32" s="1"/>
      <c r="I32" s="1"/>
      <c r="J32" s="1"/>
      <c r="L32" s="1">
        <v>4</v>
      </c>
      <c r="M32" s="1" t="str">
        <f t="shared" si="6"/>
        <v>1</v>
      </c>
      <c r="N32" s="1" t="str">
        <f t="shared" si="7"/>
        <v>2</v>
      </c>
      <c r="O32" s="1" t="str">
        <f t="shared" si="8"/>
        <v>2</v>
      </c>
      <c r="P32" s="1" t="str">
        <f t="shared" si="9"/>
        <v>2</v>
      </c>
      <c r="Q32" s="1" t="str">
        <f t="shared" si="10"/>
        <v>2</v>
      </c>
      <c r="R32" s="1" t="str">
        <f t="shared" si="11"/>
        <v>2</v>
      </c>
      <c r="S32" s="1"/>
      <c r="T32" s="1"/>
      <c r="U32" s="1"/>
      <c r="W32" s="1">
        <v>4</v>
      </c>
      <c r="X32" s="1" t="str">
        <f t="shared" si="12"/>
        <v>1</v>
      </c>
      <c r="Y32" s="1" t="str">
        <f t="shared" si="13"/>
        <v>2</v>
      </c>
      <c r="Z32" s="1" t="str">
        <f t="shared" si="14"/>
        <v>1</v>
      </c>
      <c r="AA32" s="1" t="str">
        <f t="shared" si="15"/>
        <v>2</v>
      </c>
      <c r="AB32" s="1" t="str">
        <f t="shared" si="16"/>
        <v>2</v>
      </c>
      <c r="AC32" s="1" t="str">
        <f t="shared" si="17"/>
        <v>2</v>
      </c>
      <c r="AD32" s="1"/>
      <c r="AE32" s="1"/>
      <c r="AF32" s="1"/>
      <c r="AH32" s="1">
        <v>4</v>
      </c>
      <c r="AI32" s="1" t="str">
        <f t="shared" si="18"/>
        <v>1</v>
      </c>
      <c r="AJ32" s="1" t="str">
        <f t="shared" si="19"/>
        <v>2</v>
      </c>
      <c r="AK32" s="1" t="str">
        <f t="shared" si="20"/>
        <v>2</v>
      </c>
      <c r="AL32" s="1" t="str">
        <f t="shared" si="21"/>
        <v>2</v>
      </c>
      <c r="AM32" s="1" t="str">
        <f t="shared" si="22"/>
        <v>2</v>
      </c>
      <c r="AN32" s="1" t="str">
        <f t="shared" si="23"/>
        <v>2</v>
      </c>
      <c r="AO32" s="1"/>
      <c r="AP32" s="1"/>
      <c r="AQ32" s="1"/>
      <c r="AS32" s="1">
        <v>4</v>
      </c>
      <c r="AT32" s="1" t="str">
        <f t="shared" si="24"/>
        <v>1</v>
      </c>
      <c r="AU32" s="1" t="str">
        <f t="shared" si="25"/>
        <v>2</v>
      </c>
      <c r="AV32" s="1" t="str">
        <f t="shared" si="26"/>
        <v>2</v>
      </c>
      <c r="AW32" s="1" t="str">
        <f t="shared" si="27"/>
        <v>2</v>
      </c>
      <c r="AX32" s="1" t="str">
        <f t="shared" si="28"/>
        <v>2</v>
      </c>
      <c r="AY32" s="1" t="str">
        <f t="shared" si="29"/>
        <v>2</v>
      </c>
      <c r="AZ32" s="1"/>
      <c r="BA32" s="1"/>
      <c r="BB32" s="1"/>
      <c r="BD32" s="1">
        <v>4</v>
      </c>
      <c r="BE32" s="1" t="str">
        <f t="shared" si="30"/>
        <v>1</v>
      </c>
      <c r="BF32" s="1" t="str">
        <f t="shared" si="31"/>
        <v>2</v>
      </c>
      <c r="BG32" s="1" t="str">
        <f t="shared" si="32"/>
        <v>2</v>
      </c>
      <c r="BH32" s="1" t="str">
        <f t="shared" si="33"/>
        <v>2</v>
      </c>
      <c r="BI32" s="1" t="str">
        <f t="shared" si="34"/>
        <v>2</v>
      </c>
      <c r="BJ32" s="1" t="str">
        <f t="shared" si="35"/>
        <v>2</v>
      </c>
      <c r="BK32" s="1"/>
      <c r="BL32" s="1"/>
      <c r="BM32" s="1"/>
      <c r="BO32" s="1">
        <v>4</v>
      </c>
      <c r="BP32" s="1" t="str">
        <f t="shared" si="36"/>
        <v>1</v>
      </c>
      <c r="BQ32" s="1" t="str">
        <f t="shared" si="37"/>
        <v>2</v>
      </c>
      <c r="BR32" s="1" t="str">
        <f t="shared" si="38"/>
        <v>2</v>
      </c>
      <c r="BS32" s="1" t="str">
        <f t="shared" si="39"/>
        <v>2</v>
      </c>
      <c r="BT32" s="1" t="str">
        <f t="shared" si="40"/>
        <v>2</v>
      </c>
      <c r="BU32" s="1" t="str">
        <f t="shared" si="41"/>
        <v>2</v>
      </c>
      <c r="BV32" s="1"/>
      <c r="BW32" s="1"/>
      <c r="BX32" s="1"/>
      <c r="BZ32" s="1">
        <v>4</v>
      </c>
      <c r="CA32" s="1" t="str">
        <f t="shared" si="42"/>
        <v>1</v>
      </c>
      <c r="CB32" s="1" t="str">
        <f t="shared" si="43"/>
        <v>2</v>
      </c>
      <c r="CC32" s="1" t="str">
        <f t="shared" si="44"/>
        <v>2</v>
      </c>
      <c r="CD32" s="1" t="str">
        <f t="shared" si="45"/>
        <v>2</v>
      </c>
      <c r="CE32" s="1" t="str">
        <f t="shared" si="46"/>
        <v>2</v>
      </c>
      <c r="CF32" s="1" t="str">
        <f t="shared" si="47"/>
        <v>2</v>
      </c>
      <c r="CG32" s="1"/>
      <c r="CH32" s="1"/>
      <c r="CI32" s="1"/>
      <c r="CK32" s="1">
        <v>4</v>
      </c>
      <c r="CL32" s="1" t="str">
        <f t="shared" si="48"/>
        <v>1</v>
      </c>
      <c r="CM32" s="1" t="str">
        <f t="shared" si="49"/>
        <v>2</v>
      </c>
      <c r="CN32" s="1" t="str">
        <f t="shared" si="50"/>
        <v>2</v>
      </c>
      <c r="CO32" s="1" t="str">
        <f t="shared" si="51"/>
        <v>2</v>
      </c>
      <c r="CP32" s="1" t="str">
        <f t="shared" si="52"/>
        <v>2</v>
      </c>
      <c r="CQ32" s="1" t="str">
        <f t="shared" si="53"/>
        <v>2</v>
      </c>
      <c r="CR32" s="1"/>
      <c r="CS32" s="1"/>
      <c r="CT32" s="1"/>
    </row>
    <row r="33" spans="1:98" x14ac:dyDescent="0.35">
      <c r="A33" s="1">
        <v>5</v>
      </c>
      <c r="B33" s="1" t="str">
        <f t="shared" si="0"/>
        <v>1</v>
      </c>
      <c r="C33" s="1" t="str">
        <f t="shared" si="1"/>
        <v>2</v>
      </c>
      <c r="D33" s="1" t="str">
        <f t="shared" si="2"/>
        <v>2</v>
      </c>
      <c r="E33" s="1" t="str">
        <f t="shared" si="3"/>
        <v>2</v>
      </c>
      <c r="F33" s="1" t="str">
        <f t="shared" si="4"/>
        <v>2</v>
      </c>
      <c r="G33" s="1" t="str">
        <f t="shared" si="5"/>
        <v>2</v>
      </c>
      <c r="H33" s="1"/>
      <c r="I33" s="1"/>
      <c r="J33" s="1"/>
      <c r="L33" s="1">
        <v>5</v>
      </c>
      <c r="M33" s="1" t="str">
        <f t="shared" si="6"/>
        <v>1</v>
      </c>
      <c r="N33" s="1" t="str">
        <f t="shared" si="7"/>
        <v>2</v>
      </c>
      <c r="O33" s="1" t="str">
        <f t="shared" si="8"/>
        <v>2</v>
      </c>
      <c r="P33" s="1" t="str">
        <f t="shared" si="9"/>
        <v>2</v>
      </c>
      <c r="Q33" s="1" t="str">
        <f t="shared" si="10"/>
        <v>2</v>
      </c>
      <c r="R33" s="1" t="str">
        <f t="shared" si="11"/>
        <v>2</v>
      </c>
      <c r="S33" s="1"/>
      <c r="T33" s="1"/>
      <c r="U33" s="1"/>
      <c r="W33" s="1">
        <v>5</v>
      </c>
      <c r="X33" s="1" t="str">
        <f t="shared" si="12"/>
        <v>1</v>
      </c>
      <c r="Y33" s="1" t="str">
        <f t="shared" si="13"/>
        <v>2</v>
      </c>
      <c r="Z33" s="1" t="str">
        <f t="shared" si="14"/>
        <v>2</v>
      </c>
      <c r="AA33" s="1" t="str">
        <f t="shared" si="15"/>
        <v>2</v>
      </c>
      <c r="AB33" s="1" t="str">
        <f t="shared" si="16"/>
        <v>2</v>
      </c>
      <c r="AC33" s="1" t="str">
        <f t="shared" si="17"/>
        <v>2</v>
      </c>
      <c r="AD33" s="1"/>
      <c r="AE33" s="1"/>
      <c r="AF33" s="1"/>
      <c r="AH33" s="1">
        <v>5</v>
      </c>
      <c r="AI33" s="1" t="str">
        <f t="shared" si="18"/>
        <v>1</v>
      </c>
      <c r="AJ33" s="1" t="str">
        <f t="shared" si="19"/>
        <v>2</v>
      </c>
      <c r="AK33" s="1" t="str">
        <f t="shared" si="20"/>
        <v>2</v>
      </c>
      <c r="AL33" s="1" t="str">
        <f t="shared" si="21"/>
        <v>2</v>
      </c>
      <c r="AM33" s="1" t="str">
        <f t="shared" si="22"/>
        <v>2</v>
      </c>
      <c r="AN33" s="1" t="str">
        <f t="shared" si="23"/>
        <v>2</v>
      </c>
      <c r="AO33" s="1"/>
      <c r="AP33" s="1"/>
      <c r="AQ33" s="1"/>
      <c r="AS33" s="1">
        <v>5</v>
      </c>
      <c r="AT33" s="1" t="str">
        <f t="shared" si="24"/>
        <v>1</v>
      </c>
      <c r="AU33" s="1" t="str">
        <f t="shared" si="25"/>
        <v>2</v>
      </c>
      <c r="AV33" s="1" t="str">
        <f t="shared" si="26"/>
        <v>2</v>
      </c>
      <c r="AW33" s="1" t="str">
        <f t="shared" si="27"/>
        <v>2</v>
      </c>
      <c r="AX33" s="1" t="str">
        <f t="shared" si="28"/>
        <v>2</v>
      </c>
      <c r="AY33" s="1" t="str">
        <f t="shared" si="29"/>
        <v>2</v>
      </c>
      <c r="AZ33" s="1"/>
      <c r="BA33" s="1"/>
      <c r="BB33" s="1"/>
      <c r="BD33" s="1">
        <v>5</v>
      </c>
      <c r="BE33" s="1" t="str">
        <f t="shared" si="30"/>
        <v>2</v>
      </c>
      <c r="BF33" s="1" t="str">
        <f t="shared" si="31"/>
        <v>2</v>
      </c>
      <c r="BG33" s="1" t="str">
        <f t="shared" si="32"/>
        <v>2</v>
      </c>
      <c r="BH33" s="1" t="str">
        <f t="shared" si="33"/>
        <v>2</v>
      </c>
      <c r="BI33" s="1" t="str">
        <f t="shared" si="34"/>
        <v>2</v>
      </c>
      <c r="BJ33" s="1" t="str">
        <f t="shared" si="35"/>
        <v>2</v>
      </c>
      <c r="BK33" s="1"/>
      <c r="BL33" s="1"/>
      <c r="BM33" s="1"/>
      <c r="BO33" s="1">
        <v>5</v>
      </c>
      <c r="BP33" s="1" t="str">
        <f t="shared" si="36"/>
        <v>1</v>
      </c>
      <c r="BQ33" s="1" t="str">
        <f t="shared" si="37"/>
        <v>2</v>
      </c>
      <c r="BR33" s="1" t="str">
        <f t="shared" si="38"/>
        <v>2</v>
      </c>
      <c r="BS33" s="1" t="str">
        <f t="shared" si="39"/>
        <v>2</v>
      </c>
      <c r="BT33" s="1" t="str">
        <f t="shared" si="40"/>
        <v>2</v>
      </c>
      <c r="BU33" s="1" t="str">
        <f t="shared" si="41"/>
        <v>2</v>
      </c>
      <c r="BV33" s="1"/>
      <c r="BW33" s="1"/>
      <c r="BX33" s="1"/>
      <c r="BZ33" s="1">
        <v>5</v>
      </c>
      <c r="CA33" s="1" t="str">
        <f t="shared" si="42"/>
        <v>1</v>
      </c>
      <c r="CB33" s="1" t="str">
        <f t="shared" si="43"/>
        <v>2</v>
      </c>
      <c r="CC33" s="1" t="str">
        <f t="shared" si="44"/>
        <v>2</v>
      </c>
      <c r="CD33" s="1" t="str">
        <f t="shared" si="45"/>
        <v>2</v>
      </c>
      <c r="CE33" s="1" t="str">
        <f t="shared" si="46"/>
        <v>2</v>
      </c>
      <c r="CF33" s="1" t="str">
        <f t="shared" si="47"/>
        <v>2</v>
      </c>
      <c r="CG33" s="1"/>
      <c r="CH33" s="1"/>
      <c r="CI33" s="1"/>
      <c r="CK33" s="1">
        <v>5</v>
      </c>
      <c r="CL33" s="1" t="str">
        <f t="shared" si="48"/>
        <v>1</v>
      </c>
      <c r="CM33" s="1" t="str">
        <f t="shared" si="49"/>
        <v>2</v>
      </c>
      <c r="CN33" s="1" t="str">
        <f t="shared" si="50"/>
        <v>2</v>
      </c>
      <c r="CO33" s="1" t="str">
        <f t="shared" si="51"/>
        <v>2</v>
      </c>
      <c r="CP33" s="1" t="str">
        <f t="shared" si="52"/>
        <v>2</v>
      </c>
      <c r="CQ33" s="1" t="str">
        <f t="shared" si="53"/>
        <v>2</v>
      </c>
      <c r="CR33" s="1"/>
      <c r="CS33" s="1"/>
      <c r="CT33" s="1"/>
    </row>
    <row r="34" spans="1:98" x14ac:dyDescent="0.35">
      <c r="A34" s="1">
        <v>6</v>
      </c>
      <c r="B34" s="1" t="str">
        <f t="shared" si="0"/>
        <v>2</v>
      </c>
      <c r="C34" s="1" t="str">
        <f t="shared" si="1"/>
        <v>2</v>
      </c>
      <c r="D34" s="1" t="str">
        <f t="shared" si="2"/>
        <v>2</v>
      </c>
      <c r="E34" s="1" t="str">
        <f t="shared" si="3"/>
        <v>2</v>
      </c>
      <c r="F34" s="1" t="str">
        <f t="shared" si="4"/>
        <v>2</v>
      </c>
      <c r="G34" s="1" t="str">
        <f t="shared" si="5"/>
        <v>2</v>
      </c>
      <c r="H34" s="1"/>
      <c r="I34" s="1"/>
      <c r="J34" s="1"/>
      <c r="L34" s="1">
        <v>6</v>
      </c>
      <c r="M34" s="1" t="str">
        <f t="shared" si="6"/>
        <v>2</v>
      </c>
      <c r="N34" s="1" t="str">
        <f t="shared" si="7"/>
        <v>2</v>
      </c>
      <c r="O34" s="1" t="str">
        <f t="shared" si="8"/>
        <v>2</v>
      </c>
      <c r="P34" s="1" t="str">
        <f t="shared" si="9"/>
        <v>2</v>
      </c>
      <c r="Q34" s="1" t="str">
        <f t="shared" si="10"/>
        <v>2</v>
      </c>
      <c r="R34" s="1" t="str">
        <f t="shared" si="11"/>
        <v>2</v>
      </c>
      <c r="S34" s="1"/>
      <c r="T34" s="1"/>
      <c r="U34" s="1"/>
      <c r="W34" s="1">
        <v>6</v>
      </c>
      <c r="X34" s="1" t="str">
        <f t="shared" si="12"/>
        <v>2</v>
      </c>
      <c r="Y34" s="1" t="str">
        <f t="shared" si="13"/>
        <v>2</v>
      </c>
      <c r="Z34" s="1" t="str">
        <f t="shared" si="14"/>
        <v>2</v>
      </c>
      <c r="AA34" s="1" t="str">
        <f t="shared" si="15"/>
        <v>2</v>
      </c>
      <c r="AB34" s="1" t="str">
        <f t="shared" si="16"/>
        <v>2</v>
      </c>
      <c r="AC34" s="1" t="str">
        <f t="shared" si="17"/>
        <v>2</v>
      </c>
      <c r="AD34" s="1"/>
      <c r="AE34" s="1"/>
      <c r="AF34" s="1"/>
      <c r="AH34" s="1">
        <v>6</v>
      </c>
      <c r="AI34" s="1" t="str">
        <f t="shared" si="18"/>
        <v>2</v>
      </c>
      <c r="AJ34" s="1" t="str">
        <f t="shared" si="19"/>
        <v>2</v>
      </c>
      <c r="AK34" s="1" t="str">
        <f t="shared" si="20"/>
        <v>2</v>
      </c>
      <c r="AL34" s="1" t="str">
        <f t="shared" si="21"/>
        <v>2</v>
      </c>
      <c r="AM34" s="1" t="str">
        <f t="shared" si="22"/>
        <v>2</v>
      </c>
      <c r="AN34" s="1" t="str">
        <f t="shared" si="23"/>
        <v>2</v>
      </c>
      <c r="AO34" s="1"/>
      <c r="AP34" s="1"/>
      <c r="AQ34" s="1"/>
      <c r="AS34" s="1">
        <v>6</v>
      </c>
      <c r="AT34" s="1" t="str">
        <f t="shared" si="24"/>
        <v>2</v>
      </c>
      <c r="AU34" s="1" t="str">
        <f t="shared" si="25"/>
        <v>2</v>
      </c>
      <c r="AV34" s="1" t="str">
        <f t="shared" si="26"/>
        <v>2</v>
      </c>
      <c r="AW34" s="1" t="str">
        <f t="shared" si="27"/>
        <v>2</v>
      </c>
      <c r="AX34" s="1" t="str">
        <f t="shared" si="28"/>
        <v>2</v>
      </c>
      <c r="AY34" s="1" t="str">
        <f t="shared" si="29"/>
        <v>2</v>
      </c>
      <c r="AZ34" s="1"/>
      <c r="BA34" s="1"/>
      <c r="BB34" s="1"/>
      <c r="BD34" s="1">
        <v>6</v>
      </c>
      <c r="BE34" s="1" t="str">
        <f t="shared" si="30"/>
        <v/>
      </c>
      <c r="BF34" s="1" t="str">
        <f t="shared" si="31"/>
        <v/>
      </c>
      <c r="BG34" s="1" t="str">
        <f t="shared" si="32"/>
        <v/>
      </c>
      <c r="BH34" s="1" t="str">
        <f t="shared" si="33"/>
        <v/>
      </c>
      <c r="BI34" s="1" t="str">
        <f t="shared" si="34"/>
        <v/>
      </c>
      <c r="BJ34" s="1" t="str">
        <f t="shared" si="35"/>
        <v>2</v>
      </c>
      <c r="BK34" s="1"/>
      <c r="BL34" s="1"/>
      <c r="BM34" s="1"/>
      <c r="BO34" s="1">
        <v>6</v>
      </c>
      <c r="BP34" s="1" t="str">
        <f t="shared" si="36"/>
        <v>2</v>
      </c>
      <c r="BQ34" s="1" t="str">
        <f t="shared" si="37"/>
        <v>2</v>
      </c>
      <c r="BR34" s="1" t="str">
        <f t="shared" si="38"/>
        <v>2</v>
      </c>
      <c r="BS34" s="1" t="str">
        <f t="shared" si="39"/>
        <v>2</v>
      </c>
      <c r="BT34" s="1" t="str">
        <f t="shared" si="40"/>
        <v>2</v>
      </c>
      <c r="BU34" s="1" t="str">
        <f t="shared" si="41"/>
        <v>2</v>
      </c>
      <c r="BV34" s="1"/>
      <c r="BW34" s="1"/>
      <c r="BX34" s="1"/>
      <c r="BZ34" s="1">
        <v>6</v>
      </c>
      <c r="CA34" s="1" t="str">
        <f t="shared" si="42"/>
        <v>2</v>
      </c>
      <c r="CB34" s="1" t="str">
        <f t="shared" si="43"/>
        <v>2</v>
      </c>
      <c r="CC34" s="1" t="str">
        <f t="shared" si="44"/>
        <v>2</v>
      </c>
      <c r="CD34" s="1" t="str">
        <f t="shared" si="45"/>
        <v>2</v>
      </c>
      <c r="CE34" s="1" t="str">
        <f t="shared" si="46"/>
        <v>2</v>
      </c>
      <c r="CF34" s="1" t="str">
        <f t="shared" si="47"/>
        <v>2</v>
      </c>
      <c r="CG34" s="1"/>
      <c r="CH34" s="1"/>
      <c r="CI34" s="1"/>
      <c r="CK34" s="1">
        <v>6</v>
      </c>
      <c r="CL34" s="1" t="str">
        <f t="shared" si="48"/>
        <v>2</v>
      </c>
      <c r="CM34" s="1" t="str">
        <f t="shared" si="49"/>
        <v>2</v>
      </c>
      <c r="CN34" s="1" t="str">
        <f t="shared" si="50"/>
        <v>2</v>
      </c>
      <c r="CO34" s="1" t="str">
        <f t="shared" si="51"/>
        <v>2</v>
      </c>
      <c r="CP34" s="1" t="str">
        <f t="shared" si="52"/>
        <v>2</v>
      </c>
      <c r="CQ34" s="1" t="str">
        <f t="shared" si="53"/>
        <v>2</v>
      </c>
      <c r="CR34" s="1"/>
      <c r="CS34" s="1"/>
      <c r="CT34" s="1"/>
    </row>
    <row r="35" spans="1:98" x14ac:dyDescent="0.35">
      <c r="A35" s="1">
        <v>7</v>
      </c>
      <c r="B35" s="1" t="str">
        <f t="shared" si="0"/>
        <v>1</v>
      </c>
      <c r="C35" s="1" t="str">
        <f t="shared" si="1"/>
        <v>2</v>
      </c>
      <c r="D35" s="1" t="str">
        <f t="shared" si="2"/>
        <v>1</v>
      </c>
      <c r="E35" s="1" t="str">
        <f t="shared" si="3"/>
        <v>2</v>
      </c>
      <c r="F35" s="1" t="str">
        <f t="shared" si="4"/>
        <v>2</v>
      </c>
      <c r="G35" s="1" t="str">
        <f t="shared" si="5"/>
        <v>2</v>
      </c>
      <c r="H35" s="1"/>
      <c r="I35" s="1"/>
      <c r="J35" s="1"/>
      <c r="L35" s="1">
        <v>7</v>
      </c>
      <c r="M35" s="1" t="str">
        <f t="shared" si="6"/>
        <v>2</v>
      </c>
      <c r="N35" s="1" t="str">
        <f t="shared" si="7"/>
        <v>2</v>
      </c>
      <c r="O35" s="1" t="str">
        <f t="shared" si="8"/>
        <v>1</v>
      </c>
      <c r="P35" s="1" t="str">
        <f t="shared" si="9"/>
        <v>2</v>
      </c>
      <c r="Q35" s="1" t="str">
        <f t="shared" si="10"/>
        <v>2</v>
      </c>
      <c r="R35" s="1" t="str">
        <f t="shared" si="11"/>
        <v>2</v>
      </c>
      <c r="S35" s="1"/>
      <c r="T35" s="1"/>
      <c r="U35" s="1"/>
      <c r="W35" s="1">
        <v>7</v>
      </c>
      <c r="X35" s="1" t="str">
        <f t="shared" si="12"/>
        <v>1</v>
      </c>
      <c r="Y35" s="1" t="str">
        <f t="shared" si="13"/>
        <v>2</v>
      </c>
      <c r="Z35" s="1" t="str">
        <f t="shared" si="14"/>
        <v>1</v>
      </c>
      <c r="AA35" s="1" t="str">
        <f t="shared" si="15"/>
        <v>2</v>
      </c>
      <c r="AB35" s="1" t="str">
        <f t="shared" si="16"/>
        <v>2</v>
      </c>
      <c r="AC35" s="1" t="str">
        <f t="shared" si="17"/>
        <v>2</v>
      </c>
      <c r="AD35" s="1"/>
      <c r="AE35" s="1"/>
      <c r="AF35" s="1"/>
      <c r="AH35" s="1">
        <v>7</v>
      </c>
      <c r="AI35" s="1" t="str">
        <f t="shared" si="18"/>
        <v/>
      </c>
      <c r="AJ35" s="1" t="str">
        <f t="shared" si="19"/>
        <v/>
      </c>
      <c r="AK35" s="1" t="str">
        <f t="shared" si="20"/>
        <v/>
      </c>
      <c r="AL35" s="1" t="str">
        <f t="shared" si="21"/>
        <v/>
      </c>
      <c r="AM35" s="1" t="str">
        <f t="shared" si="22"/>
        <v/>
      </c>
      <c r="AN35" s="1" t="str">
        <f t="shared" si="23"/>
        <v>2</v>
      </c>
      <c r="AO35" s="1"/>
      <c r="AP35" s="1"/>
      <c r="AQ35" s="1"/>
      <c r="AS35" s="1">
        <v>7</v>
      </c>
      <c r="AT35" s="1" t="str">
        <f t="shared" si="24"/>
        <v>1</v>
      </c>
      <c r="AU35" s="1" t="str">
        <f t="shared" si="25"/>
        <v>2</v>
      </c>
      <c r="AV35" s="1" t="str">
        <f t="shared" si="26"/>
        <v>1</v>
      </c>
      <c r="AW35" s="1" t="str">
        <f t="shared" si="27"/>
        <v>2</v>
      </c>
      <c r="AX35" s="1" t="str">
        <f t="shared" si="28"/>
        <v>2</v>
      </c>
      <c r="AY35" s="1" t="str">
        <f t="shared" si="29"/>
        <v>2</v>
      </c>
      <c r="AZ35" s="1"/>
      <c r="BA35" s="1"/>
      <c r="BB35" s="1"/>
      <c r="BD35" s="1">
        <v>7</v>
      </c>
      <c r="BE35" s="1" t="str">
        <f t="shared" si="30"/>
        <v>1</v>
      </c>
      <c r="BF35" s="1" t="str">
        <f t="shared" si="31"/>
        <v>2</v>
      </c>
      <c r="BG35" s="1" t="str">
        <f t="shared" si="32"/>
        <v>1</v>
      </c>
      <c r="BH35" s="1" t="str">
        <f t="shared" si="33"/>
        <v>2</v>
      </c>
      <c r="BI35" s="1" t="str">
        <f t="shared" si="34"/>
        <v>2</v>
      </c>
      <c r="BJ35" s="1" t="str">
        <f t="shared" si="35"/>
        <v>2</v>
      </c>
      <c r="BK35" s="1"/>
      <c r="BL35" s="1"/>
      <c r="BM35" s="1"/>
      <c r="BO35" s="1">
        <v>7</v>
      </c>
      <c r="BP35" s="1" t="str">
        <f t="shared" si="36"/>
        <v>1</v>
      </c>
      <c r="BQ35" s="1" t="str">
        <f t="shared" si="37"/>
        <v>2</v>
      </c>
      <c r="BR35" s="1" t="str">
        <f t="shared" si="38"/>
        <v>1</v>
      </c>
      <c r="BS35" s="1" t="str">
        <f t="shared" si="39"/>
        <v>2</v>
      </c>
      <c r="BT35" s="1" t="str">
        <f t="shared" si="40"/>
        <v>2</v>
      </c>
      <c r="BU35" s="1" t="str">
        <f t="shared" si="41"/>
        <v>2</v>
      </c>
      <c r="BV35" s="1"/>
      <c r="BW35" s="1"/>
      <c r="BX35" s="1"/>
      <c r="BZ35" s="1">
        <v>7</v>
      </c>
      <c r="CA35" s="1" t="str">
        <f t="shared" si="42"/>
        <v>2</v>
      </c>
      <c r="CB35" s="1" t="str">
        <f t="shared" si="43"/>
        <v>2</v>
      </c>
      <c r="CC35" s="1" t="str">
        <f t="shared" si="44"/>
        <v>2</v>
      </c>
      <c r="CD35" s="1" t="str">
        <f t="shared" si="45"/>
        <v>2</v>
      </c>
      <c r="CE35" s="1" t="str">
        <f t="shared" si="46"/>
        <v>2</v>
      </c>
      <c r="CF35" s="1" t="str">
        <f t="shared" si="47"/>
        <v>2</v>
      </c>
      <c r="CG35" s="1"/>
      <c r="CH35" s="1"/>
      <c r="CI35" s="1"/>
      <c r="CK35" s="1">
        <v>7</v>
      </c>
      <c r="CL35" s="1" t="str">
        <f t="shared" si="48"/>
        <v>1</v>
      </c>
      <c r="CM35" s="1" t="str">
        <f t="shared" si="49"/>
        <v>1</v>
      </c>
      <c r="CN35" s="1" t="str">
        <f t="shared" si="50"/>
        <v>1</v>
      </c>
      <c r="CO35" s="1" t="str">
        <f t="shared" si="51"/>
        <v>2</v>
      </c>
      <c r="CP35" s="1" t="str">
        <f t="shared" si="52"/>
        <v>2</v>
      </c>
      <c r="CQ35" s="1" t="str">
        <f t="shared" si="53"/>
        <v>2</v>
      </c>
      <c r="CR35" s="1"/>
      <c r="CS35" s="1"/>
      <c r="CT35" s="1"/>
    </row>
    <row r="36" spans="1:98" x14ac:dyDescent="0.35">
      <c r="A36" s="1">
        <v>8</v>
      </c>
      <c r="B36" s="1" t="str">
        <f t="shared" si="0"/>
        <v>2</v>
      </c>
      <c r="C36" s="1" t="str">
        <f t="shared" si="1"/>
        <v>2</v>
      </c>
      <c r="D36" s="1" t="str">
        <f t="shared" si="2"/>
        <v>2</v>
      </c>
      <c r="E36" s="1" t="str">
        <f t="shared" si="3"/>
        <v>2</v>
      </c>
      <c r="F36" s="1" t="str">
        <f t="shared" si="4"/>
        <v>2</v>
      </c>
      <c r="G36" s="1" t="str">
        <f t="shared" si="5"/>
        <v>2</v>
      </c>
      <c r="H36" s="1"/>
      <c r="I36" s="1"/>
      <c r="J36" s="1"/>
      <c r="L36" s="1">
        <v>8</v>
      </c>
      <c r="M36" s="1" t="str">
        <f t="shared" si="6"/>
        <v>1</v>
      </c>
      <c r="N36" s="1" t="str">
        <f t="shared" si="7"/>
        <v>2</v>
      </c>
      <c r="O36" s="1" t="str">
        <f t="shared" si="8"/>
        <v>2</v>
      </c>
      <c r="P36" s="1" t="str">
        <f t="shared" si="9"/>
        <v>2</v>
      </c>
      <c r="Q36" s="1" t="str">
        <f t="shared" si="10"/>
        <v>2</v>
      </c>
      <c r="R36" s="1" t="str">
        <f t="shared" si="11"/>
        <v>2</v>
      </c>
      <c r="S36" s="1"/>
      <c r="T36" s="1"/>
      <c r="U36" s="1"/>
      <c r="W36" s="1">
        <v>8</v>
      </c>
      <c r="X36" s="1" t="str">
        <f t="shared" si="12"/>
        <v>2</v>
      </c>
      <c r="Y36" s="1" t="str">
        <f t="shared" si="13"/>
        <v>2</v>
      </c>
      <c r="Z36" s="1" t="str">
        <f t="shared" si="14"/>
        <v>2</v>
      </c>
      <c r="AA36" s="1" t="str">
        <f t="shared" si="15"/>
        <v>2</v>
      </c>
      <c r="AB36" s="1" t="str">
        <f t="shared" si="16"/>
        <v>2</v>
      </c>
      <c r="AC36" s="1" t="str">
        <f t="shared" si="17"/>
        <v>2</v>
      </c>
      <c r="AD36" s="1"/>
      <c r="AE36" s="1"/>
      <c r="AF36" s="1"/>
      <c r="AH36" s="1">
        <v>8</v>
      </c>
      <c r="AI36" s="1" t="str">
        <f t="shared" si="18"/>
        <v>2</v>
      </c>
      <c r="AJ36" s="1" t="str">
        <f t="shared" si="19"/>
        <v>2</v>
      </c>
      <c r="AK36" s="1" t="str">
        <f t="shared" si="20"/>
        <v>2</v>
      </c>
      <c r="AL36" s="1" t="str">
        <f t="shared" si="21"/>
        <v>2</v>
      </c>
      <c r="AM36" s="1" t="str">
        <f t="shared" si="22"/>
        <v>2</v>
      </c>
      <c r="AN36" s="1" t="str">
        <f t="shared" si="23"/>
        <v>2</v>
      </c>
      <c r="AO36" s="1"/>
      <c r="AP36" s="1"/>
      <c r="AQ36" s="1"/>
      <c r="AS36" s="1">
        <v>8</v>
      </c>
      <c r="AT36" s="1" t="str">
        <f t="shared" si="24"/>
        <v>2</v>
      </c>
      <c r="AU36" s="1" t="str">
        <f t="shared" si="25"/>
        <v>2</v>
      </c>
      <c r="AV36" s="1" t="str">
        <f t="shared" si="26"/>
        <v>2</v>
      </c>
      <c r="AW36" s="1" t="str">
        <f t="shared" si="27"/>
        <v>2</v>
      </c>
      <c r="AX36" s="1" t="str">
        <f t="shared" si="28"/>
        <v>2</v>
      </c>
      <c r="AY36" s="1" t="str">
        <f t="shared" si="29"/>
        <v>2</v>
      </c>
      <c r="AZ36" s="1"/>
      <c r="BA36" s="1"/>
      <c r="BB36" s="1"/>
      <c r="BD36" s="1">
        <v>8</v>
      </c>
      <c r="BE36" s="1" t="str">
        <f t="shared" si="30"/>
        <v>2</v>
      </c>
      <c r="BF36" s="1" t="str">
        <f t="shared" si="31"/>
        <v>2</v>
      </c>
      <c r="BG36" s="1" t="str">
        <f t="shared" si="32"/>
        <v>2</v>
      </c>
      <c r="BH36" s="1" t="str">
        <f t="shared" si="33"/>
        <v>2</v>
      </c>
      <c r="BI36" s="1" t="str">
        <f t="shared" si="34"/>
        <v>2</v>
      </c>
      <c r="BJ36" s="1" t="str">
        <f t="shared" si="35"/>
        <v>1</v>
      </c>
      <c r="BK36" s="1"/>
      <c r="BL36" s="1"/>
      <c r="BM36" s="1"/>
      <c r="BO36" s="1">
        <v>8</v>
      </c>
      <c r="BP36" s="1" t="str">
        <f t="shared" si="36"/>
        <v>2</v>
      </c>
      <c r="BQ36" s="1" t="str">
        <f t="shared" si="37"/>
        <v>2</v>
      </c>
      <c r="BR36" s="1" t="str">
        <f t="shared" si="38"/>
        <v>2</v>
      </c>
      <c r="BS36" s="1" t="str">
        <f t="shared" si="39"/>
        <v>2</v>
      </c>
      <c r="BT36" s="1" t="str">
        <f t="shared" si="40"/>
        <v>2</v>
      </c>
      <c r="BU36" s="1" t="str">
        <f t="shared" si="41"/>
        <v>2</v>
      </c>
      <c r="BV36" s="1"/>
      <c r="BW36" s="1"/>
      <c r="BX36" s="1"/>
      <c r="BZ36" s="1">
        <v>8</v>
      </c>
      <c r="CA36" s="1" t="str">
        <f t="shared" si="42"/>
        <v>1</v>
      </c>
      <c r="CB36" s="1" t="str">
        <f t="shared" si="43"/>
        <v>2</v>
      </c>
      <c r="CC36" s="1" t="str">
        <f t="shared" si="44"/>
        <v>2</v>
      </c>
      <c r="CD36" s="1" t="str">
        <f t="shared" si="45"/>
        <v>2</v>
      </c>
      <c r="CE36" s="1" t="str">
        <f t="shared" si="46"/>
        <v>2</v>
      </c>
      <c r="CF36" s="1" t="str">
        <f t="shared" si="47"/>
        <v>2</v>
      </c>
      <c r="CG36" s="1"/>
      <c r="CH36" s="1"/>
      <c r="CI36" s="1"/>
      <c r="CK36" s="1">
        <v>8</v>
      </c>
      <c r="CL36" s="1" t="str">
        <f t="shared" si="48"/>
        <v>2</v>
      </c>
      <c r="CM36" s="1" t="str">
        <f t="shared" si="49"/>
        <v>2</v>
      </c>
      <c r="CN36" s="1" t="str">
        <f t="shared" si="50"/>
        <v>2</v>
      </c>
      <c r="CO36" s="1" t="str">
        <f t="shared" si="51"/>
        <v>2</v>
      </c>
      <c r="CP36" s="1" t="str">
        <f t="shared" si="52"/>
        <v>2</v>
      </c>
      <c r="CQ36" s="1" t="str">
        <f t="shared" si="53"/>
        <v>2</v>
      </c>
      <c r="CR36" s="1"/>
      <c r="CS36" s="1"/>
      <c r="CT36" s="1"/>
    </row>
    <row r="37" spans="1:98" x14ac:dyDescent="0.35">
      <c r="A37" s="1">
        <v>9</v>
      </c>
      <c r="B37" s="1" t="str">
        <f t="shared" si="0"/>
        <v>1</v>
      </c>
      <c r="C37" s="1" t="str">
        <f t="shared" si="1"/>
        <v>2</v>
      </c>
      <c r="D37" s="1" t="str">
        <f t="shared" si="2"/>
        <v>2</v>
      </c>
      <c r="E37" s="1" t="str">
        <f t="shared" si="3"/>
        <v>2</v>
      </c>
      <c r="F37" s="1" t="str">
        <f t="shared" si="4"/>
        <v>2</v>
      </c>
      <c r="G37" s="1" t="str">
        <f t="shared" si="5"/>
        <v>2</v>
      </c>
      <c r="H37" s="1"/>
      <c r="I37" s="1"/>
      <c r="J37" s="1"/>
      <c r="L37" s="1">
        <v>9</v>
      </c>
      <c r="M37" s="1" t="str">
        <f t="shared" si="6"/>
        <v>1</v>
      </c>
      <c r="N37" s="1" t="str">
        <f t="shared" si="7"/>
        <v>2</v>
      </c>
      <c r="O37" s="1" t="str">
        <f t="shared" si="8"/>
        <v>2</v>
      </c>
      <c r="P37" s="1" t="str">
        <f t="shared" si="9"/>
        <v>2</v>
      </c>
      <c r="Q37" s="1" t="str">
        <f t="shared" si="10"/>
        <v>2</v>
      </c>
      <c r="R37" s="1" t="str">
        <f t="shared" si="11"/>
        <v>2</v>
      </c>
      <c r="S37" s="1"/>
      <c r="T37" s="1"/>
      <c r="U37" s="1"/>
      <c r="W37" s="1">
        <v>9</v>
      </c>
      <c r="X37" s="1" t="str">
        <f t="shared" si="12"/>
        <v>1</v>
      </c>
      <c r="Y37" s="1" t="str">
        <f t="shared" si="13"/>
        <v>2</v>
      </c>
      <c r="Z37" s="1" t="str">
        <f t="shared" si="14"/>
        <v>2</v>
      </c>
      <c r="AA37" s="1" t="str">
        <f t="shared" si="15"/>
        <v>2</v>
      </c>
      <c r="AB37" s="1" t="str">
        <f t="shared" si="16"/>
        <v>2</v>
      </c>
      <c r="AC37" s="1" t="str">
        <f t="shared" si="17"/>
        <v>2</v>
      </c>
      <c r="AD37" s="1"/>
      <c r="AE37" s="1"/>
      <c r="AF37" s="1"/>
      <c r="AH37" s="1">
        <v>9</v>
      </c>
      <c r="AI37" s="1" t="str">
        <f t="shared" si="18"/>
        <v>1</v>
      </c>
      <c r="AJ37" s="1" t="str">
        <f t="shared" si="19"/>
        <v>2</v>
      </c>
      <c r="AK37" s="1" t="str">
        <f t="shared" si="20"/>
        <v>2</v>
      </c>
      <c r="AL37" s="1" t="str">
        <f t="shared" si="21"/>
        <v>2</v>
      </c>
      <c r="AM37" s="1" t="str">
        <f t="shared" si="22"/>
        <v>2</v>
      </c>
      <c r="AN37" s="1" t="str">
        <f t="shared" si="23"/>
        <v>2</v>
      </c>
      <c r="AO37" s="1"/>
      <c r="AP37" s="1"/>
      <c r="AQ37" s="1"/>
      <c r="AS37" s="1">
        <v>9</v>
      </c>
      <c r="AT37" s="1" t="str">
        <f t="shared" si="24"/>
        <v>1</v>
      </c>
      <c r="AU37" s="1" t="str">
        <f t="shared" si="25"/>
        <v>2</v>
      </c>
      <c r="AV37" s="1" t="str">
        <f t="shared" si="26"/>
        <v>2</v>
      </c>
      <c r="AW37" s="1" t="str">
        <f t="shared" si="27"/>
        <v>2</v>
      </c>
      <c r="AX37" s="1" t="str">
        <f t="shared" si="28"/>
        <v>2</v>
      </c>
      <c r="AY37" s="1" t="str">
        <f t="shared" si="29"/>
        <v>2</v>
      </c>
      <c r="AZ37" s="1"/>
      <c r="BA37" s="1"/>
      <c r="BB37" s="1"/>
      <c r="BD37" s="1">
        <v>9</v>
      </c>
      <c r="BE37" s="1" t="str">
        <f t="shared" si="30"/>
        <v>1</v>
      </c>
      <c r="BF37" s="1" t="str">
        <f t="shared" si="31"/>
        <v>2</v>
      </c>
      <c r="BG37" s="1" t="str">
        <f t="shared" si="32"/>
        <v>2</v>
      </c>
      <c r="BH37" s="1" t="str">
        <f t="shared" si="33"/>
        <v>2</v>
      </c>
      <c r="BI37" s="1" t="str">
        <f t="shared" si="34"/>
        <v>2</v>
      </c>
      <c r="BJ37" s="1" t="str">
        <f t="shared" si="35"/>
        <v>1</v>
      </c>
      <c r="BK37" s="1"/>
      <c r="BL37" s="1"/>
      <c r="BM37" s="1"/>
      <c r="BO37" s="1">
        <v>9</v>
      </c>
      <c r="BP37" s="1" t="str">
        <f t="shared" si="36"/>
        <v>1</v>
      </c>
      <c r="BQ37" s="1" t="str">
        <f t="shared" si="37"/>
        <v>2</v>
      </c>
      <c r="BR37" s="1" t="str">
        <f t="shared" si="38"/>
        <v>2</v>
      </c>
      <c r="BS37" s="1" t="str">
        <f t="shared" si="39"/>
        <v>2</v>
      </c>
      <c r="BT37" s="1" t="str">
        <f t="shared" si="40"/>
        <v>2</v>
      </c>
      <c r="BU37" s="1" t="str">
        <f t="shared" si="41"/>
        <v>2</v>
      </c>
      <c r="BV37" s="1"/>
      <c r="BW37" s="1"/>
      <c r="BX37" s="1"/>
      <c r="BZ37" s="1">
        <v>9</v>
      </c>
      <c r="CA37" s="1" t="str">
        <f t="shared" si="42"/>
        <v>1</v>
      </c>
      <c r="CB37" s="1" t="str">
        <f t="shared" si="43"/>
        <v>2</v>
      </c>
      <c r="CC37" s="1" t="str">
        <f t="shared" si="44"/>
        <v>1</v>
      </c>
      <c r="CD37" s="1" t="str">
        <f t="shared" si="45"/>
        <v>2</v>
      </c>
      <c r="CE37" s="1" t="str">
        <f t="shared" si="46"/>
        <v>2</v>
      </c>
      <c r="CF37" s="1" t="str">
        <f t="shared" si="47"/>
        <v>2</v>
      </c>
      <c r="CG37" s="1"/>
      <c r="CH37" s="1"/>
      <c r="CI37" s="1"/>
      <c r="CK37" s="1">
        <v>9</v>
      </c>
      <c r="CL37" s="1" t="str">
        <f t="shared" si="48"/>
        <v>1</v>
      </c>
      <c r="CM37" s="1" t="str">
        <f t="shared" si="49"/>
        <v>1</v>
      </c>
      <c r="CN37" s="1" t="str">
        <f t="shared" si="50"/>
        <v>2</v>
      </c>
      <c r="CO37" s="1" t="str">
        <f t="shared" si="51"/>
        <v>2</v>
      </c>
      <c r="CP37" s="1" t="str">
        <f t="shared" si="52"/>
        <v>2</v>
      </c>
      <c r="CQ37" s="1" t="str">
        <f t="shared" si="53"/>
        <v>2</v>
      </c>
      <c r="CR37" s="1"/>
      <c r="CS37" s="1"/>
      <c r="CT37" s="1"/>
    </row>
    <row r="38" spans="1:98" x14ac:dyDescent="0.35">
      <c r="A38" s="1">
        <v>10</v>
      </c>
      <c r="B38" s="1" t="str">
        <f t="shared" si="0"/>
        <v>2</v>
      </c>
      <c r="C38" s="1" t="str">
        <f t="shared" si="1"/>
        <v>2</v>
      </c>
      <c r="D38" s="1" t="str">
        <f t="shared" si="2"/>
        <v>2</v>
      </c>
      <c r="E38" s="1" t="str">
        <f t="shared" si="3"/>
        <v>2</v>
      </c>
      <c r="F38" s="1" t="str">
        <f t="shared" si="4"/>
        <v>2</v>
      </c>
      <c r="G38" s="1" t="str">
        <f t="shared" si="5"/>
        <v>2</v>
      </c>
      <c r="H38" s="1"/>
      <c r="I38" s="1"/>
      <c r="J38" s="1"/>
      <c r="L38" s="1">
        <v>10</v>
      </c>
      <c r="M38" s="1" t="str">
        <f t="shared" si="6"/>
        <v>2</v>
      </c>
      <c r="N38" s="1" t="str">
        <f t="shared" si="7"/>
        <v>2</v>
      </c>
      <c r="O38" s="1" t="str">
        <f t="shared" si="8"/>
        <v>2</v>
      </c>
      <c r="P38" s="1" t="str">
        <f t="shared" si="9"/>
        <v>2</v>
      </c>
      <c r="Q38" s="1" t="str">
        <f t="shared" si="10"/>
        <v>2</v>
      </c>
      <c r="R38" s="1" t="str">
        <f t="shared" si="11"/>
        <v>2</v>
      </c>
      <c r="S38" s="1"/>
      <c r="T38" s="1"/>
      <c r="U38" s="1"/>
      <c r="W38" s="1">
        <v>10</v>
      </c>
      <c r="X38" s="1" t="str">
        <f t="shared" si="12"/>
        <v>2</v>
      </c>
      <c r="Y38" s="1" t="str">
        <f t="shared" si="13"/>
        <v>2</v>
      </c>
      <c r="Z38" s="1" t="str">
        <f t="shared" si="14"/>
        <v>2</v>
      </c>
      <c r="AA38" s="1" t="str">
        <f t="shared" si="15"/>
        <v>2</v>
      </c>
      <c r="AB38" s="1" t="str">
        <f t="shared" si="16"/>
        <v>2</v>
      </c>
      <c r="AC38" s="1" t="str">
        <f t="shared" si="17"/>
        <v>2</v>
      </c>
      <c r="AD38" s="1"/>
      <c r="AE38" s="1"/>
      <c r="AF38" s="1"/>
      <c r="AH38" s="1">
        <v>10</v>
      </c>
      <c r="AI38" s="1" t="str">
        <f t="shared" si="18"/>
        <v>2</v>
      </c>
      <c r="AJ38" s="1" t="str">
        <f t="shared" si="19"/>
        <v>2</v>
      </c>
      <c r="AK38" s="1" t="str">
        <f t="shared" si="20"/>
        <v>2</v>
      </c>
      <c r="AL38" s="1" t="str">
        <f t="shared" si="21"/>
        <v>2</v>
      </c>
      <c r="AM38" s="1" t="str">
        <f t="shared" si="22"/>
        <v>2</v>
      </c>
      <c r="AN38" s="1" t="str">
        <f t="shared" si="23"/>
        <v>2</v>
      </c>
      <c r="AO38" s="1"/>
      <c r="AP38" s="1"/>
      <c r="AQ38" s="1"/>
      <c r="AS38" s="1">
        <v>10</v>
      </c>
      <c r="AT38" s="1" t="str">
        <f t="shared" si="24"/>
        <v>2</v>
      </c>
      <c r="AU38" s="1" t="str">
        <f t="shared" si="25"/>
        <v>2</v>
      </c>
      <c r="AV38" s="1" t="str">
        <f t="shared" si="26"/>
        <v>2</v>
      </c>
      <c r="AW38" s="1" t="str">
        <f t="shared" si="27"/>
        <v>2</v>
      </c>
      <c r="AX38" s="1" t="str">
        <f t="shared" si="28"/>
        <v>2</v>
      </c>
      <c r="AY38" s="1" t="str">
        <f t="shared" si="29"/>
        <v>2</v>
      </c>
      <c r="AZ38" s="1"/>
      <c r="BA38" s="1"/>
      <c r="BB38" s="1"/>
      <c r="BD38" s="1">
        <v>10</v>
      </c>
      <c r="BE38" s="1" t="str">
        <f t="shared" si="30"/>
        <v>2</v>
      </c>
      <c r="BF38" s="1" t="str">
        <f t="shared" si="31"/>
        <v>2</v>
      </c>
      <c r="BG38" s="1" t="str">
        <f t="shared" si="32"/>
        <v>2</v>
      </c>
      <c r="BH38" s="1" t="str">
        <f t="shared" si="33"/>
        <v>2</v>
      </c>
      <c r="BI38" s="1" t="str">
        <f t="shared" si="34"/>
        <v>2</v>
      </c>
      <c r="BJ38" s="1" t="str">
        <f t="shared" si="35"/>
        <v>2</v>
      </c>
      <c r="BK38" s="1"/>
      <c r="BL38" s="1"/>
      <c r="BM38" s="1"/>
      <c r="BO38" s="1">
        <v>10</v>
      </c>
      <c r="BP38" s="1" t="str">
        <f t="shared" si="36"/>
        <v>2</v>
      </c>
      <c r="BQ38" s="1" t="str">
        <f t="shared" si="37"/>
        <v>2</v>
      </c>
      <c r="BR38" s="1" t="str">
        <f t="shared" si="38"/>
        <v>2</v>
      </c>
      <c r="BS38" s="1" t="str">
        <f t="shared" si="39"/>
        <v>2</v>
      </c>
      <c r="BT38" s="1" t="str">
        <f t="shared" si="40"/>
        <v>2</v>
      </c>
      <c r="BU38" s="1" t="str">
        <f t="shared" si="41"/>
        <v>2</v>
      </c>
      <c r="BV38" s="1"/>
      <c r="BW38" s="1"/>
      <c r="BX38" s="1"/>
      <c r="BZ38" s="1">
        <v>10</v>
      </c>
      <c r="CA38" s="1" t="str">
        <f t="shared" si="42"/>
        <v>2</v>
      </c>
      <c r="CB38" s="1" t="str">
        <f t="shared" si="43"/>
        <v>1</v>
      </c>
      <c r="CC38" s="1" t="str">
        <f t="shared" si="44"/>
        <v>2</v>
      </c>
      <c r="CD38" s="1" t="str">
        <f t="shared" si="45"/>
        <v>2</v>
      </c>
      <c r="CE38" s="1" t="str">
        <f t="shared" si="46"/>
        <v>2</v>
      </c>
      <c r="CF38" s="1" t="str">
        <f t="shared" si="47"/>
        <v>2</v>
      </c>
      <c r="CG38" s="1"/>
      <c r="CH38" s="1"/>
      <c r="CI38" s="1"/>
      <c r="CK38" s="1">
        <v>10</v>
      </c>
      <c r="CL38" s="1" t="str">
        <f t="shared" si="48"/>
        <v>2</v>
      </c>
      <c r="CM38" s="1" t="str">
        <f t="shared" si="49"/>
        <v>1</v>
      </c>
      <c r="CN38" s="1" t="str">
        <f t="shared" si="50"/>
        <v>2</v>
      </c>
      <c r="CO38" s="1" t="str">
        <f t="shared" si="51"/>
        <v>2</v>
      </c>
      <c r="CP38" s="1" t="str">
        <f t="shared" si="52"/>
        <v>2</v>
      </c>
      <c r="CQ38" s="1" t="str">
        <f t="shared" si="53"/>
        <v>2</v>
      </c>
      <c r="CR38" s="1"/>
      <c r="CS38" s="1"/>
      <c r="CT38" s="1"/>
    </row>
    <row r="39" spans="1:98" x14ac:dyDescent="0.35">
      <c r="A39" s="1">
        <v>11</v>
      </c>
      <c r="B39" s="1" t="str">
        <f t="shared" si="0"/>
        <v>1</v>
      </c>
      <c r="C39" s="1" t="str">
        <f t="shared" si="1"/>
        <v>2</v>
      </c>
      <c r="D39" s="1" t="str">
        <f t="shared" si="2"/>
        <v>2</v>
      </c>
      <c r="E39" s="1" t="str">
        <f t="shared" si="3"/>
        <v>2</v>
      </c>
      <c r="F39" s="1" t="str">
        <f t="shared" si="4"/>
        <v>2</v>
      </c>
      <c r="G39" s="1" t="str">
        <f t="shared" si="5"/>
        <v>1</v>
      </c>
      <c r="H39" s="1"/>
      <c r="I39" s="1"/>
      <c r="J39" s="1"/>
      <c r="L39" s="1">
        <v>11</v>
      </c>
      <c r="M39" s="1" t="str">
        <f t="shared" si="6"/>
        <v>1</v>
      </c>
      <c r="N39" s="1" t="str">
        <f t="shared" si="7"/>
        <v>2</v>
      </c>
      <c r="O39" s="1" t="str">
        <f t="shared" si="8"/>
        <v>2</v>
      </c>
      <c r="P39" s="1" t="str">
        <f t="shared" si="9"/>
        <v>2</v>
      </c>
      <c r="Q39" s="1" t="str">
        <f t="shared" si="10"/>
        <v>2</v>
      </c>
      <c r="R39" s="1" t="str">
        <f t="shared" si="11"/>
        <v>1</v>
      </c>
      <c r="S39" s="1"/>
      <c r="T39" s="1"/>
      <c r="U39" s="1"/>
      <c r="W39" s="1">
        <v>11</v>
      </c>
      <c r="X39" s="1" t="str">
        <f t="shared" si="12"/>
        <v>1</v>
      </c>
      <c r="Y39" s="1" t="str">
        <f t="shared" si="13"/>
        <v>1</v>
      </c>
      <c r="Z39" s="1" t="str">
        <f t="shared" si="14"/>
        <v>1</v>
      </c>
      <c r="AA39" s="1" t="str">
        <f t="shared" si="15"/>
        <v>2</v>
      </c>
      <c r="AB39" s="1" t="str">
        <f t="shared" si="16"/>
        <v>2</v>
      </c>
      <c r="AC39" s="1" t="str">
        <f t="shared" si="17"/>
        <v>2</v>
      </c>
      <c r="AD39" s="1"/>
      <c r="AE39" s="1"/>
      <c r="AF39" s="1"/>
      <c r="AH39" s="1">
        <v>11</v>
      </c>
      <c r="AI39" s="1" t="str">
        <f t="shared" si="18"/>
        <v>1</v>
      </c>
      <c r="AJ39" s="1" t="str">
        <f t="shared" si="19"/>
        <v>2</v>
      </c>
      <c r="AK39" s="1" t="str">
        <f t="shared" si="20"/>
        <v>2</v>
      </c>
      <c r="AL39" s="1" t="str">
        <f t="shared" si="21"/>
        <v>2</v>
      </c>
      <c r="AM39" s="1" t="str">
        <f t="shared" si="22"/>
        <v>2</v>
      </c>
      <c r="AN39" s="1" t="str">
        <f t="shared" si="23"/>
        <v>2</v>
      </c>
      <c r="AO39" s="1"/>
      <c r="AP39" s="1"/>
      <c r="AQ39" s="1"/>
      <c r="AS39" s="1">
        <v>11</v>
      </c>
      <c r="AT39" s="1" t="str">
        <f t="shared" si="24"/>
        <v>1</v>
      </c>
      <c r="AU39" s="1" t="str">
        <f t="shared" si="25"/>
        <v>2</v>
      </c>
      <c r="AV39" s="1" t="str">
        <f t="shared" si="26"/>
        <v>2</v>
      </c>
      <c r="AW39" s="1" t="str">
        <f t="shared" si="27"/>
        <v>2</v>
      </c>
      <c r="AX39" s="1" t="str">
        <f t="shared" si="28"/>
        <v>2</v>
      </c>
      <c r="AY39" s="1" t="str">
        <f t="shared" si="29"/>
        <v>1</v>
      </c>
      <c r="AZ39" s="1"/>
      <c r="BA39" s="1"/>
      <c r="BB39" s="1"/>
      <c r="BD39" s="1">
        <v>11</v>
      </c>
      <c r="BE39" s="1" t="str">
        <f t="shared" si="30"/>
        <v>1</v>
      </c>
      <c r="BF39" s="1" t="str">
        <f t="shared" si="31"/>
        <v>1</v>
      </c>
      <c r="BG39" s="1" t="str">
        <f t="shared" si="32"/>
        <v>2</v>
      </c>
      <c r="BH39" s="1" t="str">
        <f t="shared" si="33"/>
        <v>2</v>
      </c>
      <c r="BI39" s="1" t="str">
        <f t="shared" si="34"/>
        <v>2</v>
      </c>
      <c r="BJ39" s="1" t="str">
        <f t="shared" si="35"/>
        <v>1</v>
      </c>
      <c r="BK39" s="1"/>
      <c r="BL39" s="1"/>
      <c r="BM39" s="1"/>
      <c r="BO39" s="1">
        <v>11</v>
      </c>
      <c r="BP39" s="1" t="str">
        <f t="shared" si="36"/>
        <v>1</v>
      </c>
      <c r="BQ39" s="1" t="str">
        <f t="shared" si="37"/>
        <v>2</v>
      </c>
      <c r="BR39" s="1" t="str">
        <f t="shared" si="38"/>
        <v>2</v>
      </c>
      <c r="BS39" s="1" t="str">
        <f t="shared" si="39"/>
        <v>2</v>
      </c>
      <c r="BT39" s="1" t="str">
        <f t="shared" si="40"/>
        <v>2</v>
      </c>
      <c r="BU39" s="1" t="str">
        <f t="shared" si="41"/>
        <v>1</v>
      </c>
      <c r="BV39" s="1"/>
      <c r="BW39" s="1"/>
      <c r="BX39" s="1"/>
      <c r="BZ39" s="1">
        <v>11</v>
      </c>
      <c r="CA39" s="1" t="str">
        <f t="shared" si="42"/>
        <v>1</v>
      </c>
      <c r="CB39" s="1" t="str">
        <f t="shared" si="43"/>
        <v>1</v>
      </c>
      <c r="CC39" s="1" t="str">
        <f t="shared" si="44"/>
        <v>2</v>
      </c>
      <c r="CD39" s="1" t="str">
        <f t="shared" si="45"/>
        <v>2</v>
      </c>
      <c r="CE39" s="1" t="str">
        <f t="shared" si="46"/>
        <v>2</v>
      </c>
      <c r="CF39" s="1" t="str">
        <f t="shared" si="47"/>
        <v>2</v>
      </c>
      <c r="CG39" s="1"/>
      <c r="CH39" s="1"/>
      <c r="CI39" s="1"/>
      <c r="CK39" s="1">
        <v>11</v>
      </c>
      <c r="CL39" s="1" t="str">
        <f t="shared" si="48"/>
        <v>1</v>
      </c>
      <c r="CM39" s="1" t="str">
        <f t="shared" si="49"/>
        <v>1</v>
      </c>
      <c r="CN39" s="1" t="str">
        <f t="shared" si="50"/>
        <v>2</v>
      </c>
      <c r="CO39" s="1" t="str">
        <f t="shared" si="51"/>
        <v>2</v>
      </c>
      <c r="CP39" s="1" t="str">
        <f t="shared" si="52"/>
        <v>2</v>
      </c>
      <c r="CQ39" s="1" t="str">
        <f t="shared" si="53"/>
        <v>1</v>
      </c>
      <c r="CR39" s="1"/>
      <c r="CS39" s="1"/>
      <c r="CT39" s="1"/>
    </row>
    <row r="40" spans="1:98" x14ac:dyDescent="0.35">
      <c r="A40" s="1">
        <v>12</v>
      </c>
      <c r="B40" s="1" t="str">
        <f t="shared" si="0"/>
        <v>1</v>
      </c>
      <c r="C40" s="1" t="str">
        <f t="shared" si="1"/>
        <v>2</v>
      </c>
      <c r="D40" s="1" t="str">
        <f t="shared" si="2"/>
        <v>2</v>
      </c>
      <c r="E40" s="1" t="str">
        <f t="shared" si="3"/>
        <v>2</v>
      </c>
      <c r="F40" s="1" t="str">
        <f t="shared" si="4"/>
        <v>2</v>
      </c>
      <c r="G40" s="1" t="str">
        <f t="shared" si="5"/>
        <v>1</v>
      </c>
      <c r="H40" s="1"/>
      <c r="I40" s="1"/>
      <c r="J40" s="1"/>
      <c r="L40" s="1">
        <v>12</v>
      </c>
      <c r="M40" s="1" t="str">
        <f t="shared" si="6"/>
        <v>1</v>
      </c>
      <c r="N40" s="1" t="str">
        <f t="shared" si="7"/>
        <v>2</v>
      </c>
      <c r="O40" s="1" t="str">
        <f t="shared" si="8"/>
        <v>2</v>
      </c>
      <c r="P40" s="1" t="str">
        <f t="shared" si="9"/>
        <v>2</v>
      </c>
      <c r="Q40" s="1" t="str">
        <f t="shared" si="10"/>
        <v>2</v>
      </c>
      <c r="R40" s="1" t="str">
        <f t="shared" si="11"/>
        <v>1</v>
      </c>
      <c r="S40" s="1"/>
      <c r="T40" s="1"/>
      <c r="U40" s="1"/>
      <c r="W40" s="1">
        <v>12</v>
      </c>
      <c r="X40" s="1" t="str">
        <f t="shared" si="12"/>
        <v>1</v>
      </c>
      <c r="Y40" s="1" t="str">
        <f t="shared" si="13"/>
        <v>1</v>
      </c>
      <c r="Z40" s="1" t="str">
        <f t="shared" si="14"/>
        <v>1</v>
      </c>
      <c r="AA40" s="1" t="str">
        <f t="shared" si="15"/>
        <v>2</v>
      </c>
      <c r="AB40" s="1" t="str">
        <f t="shared" si="16"/>
        <v>2</v>
      </c>
      <c r="AC40" s="1" t="str">
        <f t="shared" si="17"/>
        <v>2</v>
      </c>
      <c r="AD40" s="1"/>
      <c r="AE40" s="1"/>
      <c r="AF40" s="1"/>
      <c r="AH40" s="1">
        <v>12</v>
      </c>
      <c r="AI40" s="1" t="str">
        <f t="shared" si="18"/>
        <v>1</v>
      </c>
      <c r="AJ40" s="1" t="str">
        <f t="shared" si="19"/>
        <v>2</v>
      </c>
      <c r="AK40" s="1" t="str">
        <f t="shared" si="20"/>
        <v>2</v>
      </c>
      <c r="AL40" s="1" t="str">
        <f t="shared" si="21"/>
        <v>2</v>
      </c>
      <c r="AM40" s="1" t="str">
        <f t="shared" si="22"/>
        <v>2</v>
      </c>
      <c r="AN40" s="1" t="str">
        <f t="shared" si="23"/>
        <v>2</v>
      </c>
      <c r="AO40" s="1"/>
      <c r="AP40" s="1"/>
      <c r="AQ40" s="1"/>
      <c r="AS40" s="1">
        <v>12</v>
      </c>
      <c r="AT40" s="1" t="str">
        <f t="shared" si="24"/>
        <v>1</v>
      </c>
      <c r="AU40" s="1" t="str">
        <f t="shared" si="25"/>
        <v>2</v>
      </c>
      <c r="AV40" s="1" t="str">
        <f t="shared" si="26"/>
        <v>2</v>
      </c>
      <c r="AW40" s="1" t="str">
        <f t="shared" si="27"/>
        <v>2</v>
      </c>
      <c r="AX40" s="1" t="str">
        <f t="shared" si="28"/>
        <v>2</v>
      </c>
      <c r="AY40" s="1" t="str">
        <f t="shared" si="29"/>
        <v>1</v>
      </c>
      <c r="AZ40" s="1"/>
      <c r="BA40" s="1"/>
      <c r="BB40" s="1"/>
      <c r="BD40" s="1">
        <v>12</v>
      </c>
      <c r="BE40" s="1" t="str">
        <f t="shared" si="30"/>
        <v>1</v>
      </c>
      <c r="BF40" s="1" t="str">
        <f t="shared" si="31"/>
        <v>1</v>
      </c>
      <c r="BG40" s="1" t="str">
        <f t="shared" si="32"/>
        <v>2</v>
      </c>
      <c r="BH40" s="1" t="str">
        <f t="shared" si="33"/>
        <v>2</v>
      </c>
      <c r="BI40" s="1" t="str">
        <f t="shared" si="34"/>
        <v>2</v>
      </c>
      <c r="BJ40" s="1" t="str">
        <f t="shared" si="35"/>
        <v>1</v>
      </c>
      <c r="BK40" s="1"/>
      <c r="BL40" s="1"/>
      <c r="BM40" s="1"/>
      <c r="BO40" s="1">
        <v>12</v>
      </c>
      <c r="BP40" s="1" t="str">
        <f t="shared" si="36"/>
        <v>1</v>
      </c>
      <c r="BQ40" s="1" t="str">
        <f t="shared" si="37"/>
        <v>2</v>
      </c>
      <c r="BR40" s="1" t="str">
        <f t="shared" si="38"/>
        <v>2</v>
      </c>
      <c r="BS40" s="1" t="str">
        <f t="shared" si="39"/>
        <v>2</v>
      </c>
      <c r="BT40" s="1" t="str">
        <f t="shared" si="40"/>
        <v>2</v>
      </c>
      <c r="BU40" s="1" t="str">
        <f t="shared" si="41"/>
        <v>1</v>
      </c>
      <c r="BV40" s="1"/>
      <c r="BW40" s="1"/>
      <c r="BX40" s="1"/>
      <c r="BZ40" s="1">
        <v>12</v>
      </c>
      <c r="CA40" s="1" t="str">
        <f t="shared" si="42"/>
        <v>1</v>
      </c>
      <c r="CB40" s="1" t="str">
        <f t="shared" si="43"/>
        <v>1</v>
      </c>
      <c r="CC40" s="1" t="str">
        <f t="shared" si="44"/>
        <v>2</v>
      </c>
      <c r="CD40" s="1" t="str">
        <f t="shared" si="45"/>
        <v>2</v>
      </c>
      <c r="CE40" s="1" t="str">
        <f t="shared" si="46"/>
        <v>2</v>
      </c>
      <c r="CF40" s="1" t="str">
        <f t="shared" si="47"/>
        <v>2</v>
      </c>
      <c r="CG40" s="1"/>
      <c r="CH40" s="1"/>
      <c r="CI40" s="1"/>
      <c r="CK40" s="1">
        <v>12</v>
      </c>
      <c r="CL40" s="1" t="str">
        <f t="shared" si="48"/>
        <v>1</v>
      </c>
      <c r="CM40" s="1" t="str">
        <f t="shared" si="49"/>
        <v>1</v>
      </c>
      <c r="CN40" s="1" t="str">
        <f t="shared" si="50"/>
        <v>2</v>
      </c>
      <c r="CO40" s="1" t="str">
        <f t="shared" si="51"/>
        <v>2</v>
      </c>
      <c r="CP40" s="1" t="str">
        <f t="shared" si="52"/>
        <v>2</v>
      </c>
      <c r="CQ40" s="1" t="str">
        <f t="shared" si="53"/>
        <v>1</v>
      </c>
      <c r="CR40" s="1"/>
      <c r="CS40" s="1"/>
      <c r="CT40" s="1"/>
    </row>
    <row r="41" spans="1:98" x14ac:dyDescent="0.35">
      <c r="A41" s="1">
        <v>13</v>
      </c>
      <c r="B41" s="1" t="str">
        <f t="shared" si="0"/>
        <v>1</v>
      </c>
      <c r="C41" s="1" t="str">
        <f t="shared" si="1"/>
        <v>2</v>
      </c>
      <c r="D41" s="1" t="str">
        <f t="shared" si="2"/>
        <v>2</v>
      </c>
      <c r="E41" s="1" t="str">
        <f t="shared" si="3"/>
        <v>2</v>
      </c>
      <c r="F41" s="1" t="str">
        <f t="shared" si="4"/>
        <v>2</v>
      </c>
      <c r="G41" s="1" t="str">
        <f t="shared" si="5"/>
        <v>1</v>
      </c>
      <c r="H41" s="1"/>
      <c r="I41" s="1"/>
      <c r="J41" s="1"/>
      <c r="L41" s="1">
        <v>13</v>
      </c>
      <c r="M41" s="1" t="str">
        <f t="shared" si="6"/>
        <v>1</v>
      </c>
      <c r="N41" s="1" t="str">
        <f t="shared" si="7"/>
        <v>2</v>
      </c>
      <c r="O41" s="1" t="str">
        <f t="shared" si="8"/>
        <v>2</v>
      </c>
      <c r="P41" s="1" t="str">
        <f t="shared" si="9"/>
        <v>2</v>
      </c>
      <c r="Q41" s="1" t="str">
        <f t="shared" si="10"/>
        <v>2</v>
      </c>
      <c r="R41" s="1" t="str">
        <f t="shared" si="11"/>
        <v>2</v>
      </c>
      <c r="S41" s="1"/>
      <c r="T41" s="1"/>
      <c r="U41" s="1"/>
      <c r="W41" s="1">
        <v>13</v>
      </c>
      <c r="X41" s="1" t="str">
        <f t="shared" si="12"/>
        <v>1</v>
      </c>
      <c r="Y41" s="1" t="str">
        <f t="shared" si="13"/>
        <v>1</v>
      </c>
      <c r="Z41" s="1" t="str">
        <f t="shared" si="14"/>
        <v>2</v>
      </c>
      <c r="AA41" s="1" t="str">
        <f t="shared" si="15"/>
        <v>2</v>
      </c>
      <c r="AB41" s="1" t="str">
        <f t="shared" si="16"/>
        <v>2</v>
      </c>
      <c r="AC41" s="1" t="str">
        <f t="shared" si="17"/>
        <v>2</v>
      </c>
      <c r="AD41" s="1"/>
      <c r="AE41" s="1"/>
      <c r="AF41" s="1"/>
      <c r="AH41" s="1">
        <v>13</v>
      </c>
      <c r="AI41" s="1" t="str">
        <f t="shared" si="18"/>
        <v/>
      </c>
      <c r="AJ41" s="1" t="str">
        <f t="shared" si="19"/>
        <v/>
      </c>
      <c r="AK41" s="1" t="str">
        <f t="shared" si="20"/>
        <v/>
      </c>
      <c r="AL41" s="1" t="str">
        <f t="shared" si="21"/>
        <v/>
      </c>
      <c r="AM41" s="1" t="str">
        <f t="shared" si="22"/>
        <v/>
      </c>
      <c r="AN41" s="1" t="str">
        <f t="shared" si="23"/>
        <v>2</v>
      </c>
      <c r="AO41" s="1"/>
      <c r="AP41" s="1"/>
      <c r="AQ41" s="1"/>
      <c r="AS41" s="1">
        <v>13</v>
      </c>
      <c r="AT41" s="1" t="str">
        <f t="shared" si="24"/>
        <v>1</v>
      </c>
      <c r="AU41" s="1" t="str">
        <f t="shared" si="25"/>
        <v>2</v>
      </c>
      <c r="AV41" s="1" t="str">
        <f t="shared" si="26"/>
        <v>2</v>
      </c>
      <c r="AW41" s="1" t="str">
        <f t="shared" si="27"/>
        <v>2</v>
      </c>
      <c r="AX41" s="1" t="str">
        <f t="shared" si="28"/>
        <v>2</v>
      </c>
      <c r="AY41" s="1" t="str">
        <f t="shared" si="29"/>
        <v>2</v>
      </c>
      <c r="AZ41" s="1"/>
      <c r="BA41" s="1"/>
      <c r="BB41" s="1"/>
      <c r="BD41" s="1">
        <v>13</v>
      </c>
      <c r="BE41" s="1" t="str">
        <f t="shared" si="30"/>
        <v>2</v>
      </c>
      <c r="BF41" s="1" t="str">
        <f t="shared" si="31"/>
        <v>1</v>
      </c>
      <c r="BG41" s="1" t="str">
        <f t="shared" si="32"/>
        <v>2</v>
      </c>
      <c r="BH41" s="1" t="str">
        <f t="shared" si="33"/>
        <v>2</v>
      </c>
      <c r="BI41" s="1" t="str">
        <f t="shared" si="34"/>
        <v>2</v>
      </c>
      <c r="BJ41" s="1" t="str">
        <f t="shared" si="35"/>
        <v>2</v>
      </c>
      <c r="BK41" s="1"/>
      <c r="BL41" s="1"/>
      <c r="BM41" s="1"/>
      <c r="BO41" s="1">
        <v>13</v>
      </c>
      <c r="BP41" s="1" t="str">
        <f t="shared" si="36"/>
        <v>1</v>
      </c>
      <c r="BQ41" s="1" t="str">
        <f t="shared" si="37"/>
        <v>2</v>
      </c>
      <c r="BR41" s="1" t="str">
        <f t="shared" si="38"/>
        <v>2</v>
      </c>
      <c r="BS41" s="1" t="str">
        <f t="shared" si="39"/>
        <v>2</v>
      </c>
      <c r="BT41" s="1" t="str">
        <f t="shared" si="40"/>
        <v>2</v>
      </c>
      <c r="BU41" s="1" t="str">
        <f t="shared" si="41"/>
        <v>2</v>
      </c>
      <c r="BV41" s="1"/>
      <c r="BW41" s="1"/>
      <c r="BX41" s="1"/>
      <c r="BZ41" s="1">
        <v>13</v>
      </c>
      <c r="CA41" s="1" t="str">
        <f t="shared" si="42"/>
        <v>1</v>
      </c>
      <c r="CB41" s="1" t="str">
        <f t="shared" si="43"/>
        <v>1</v>
      </c>
      <c r="CC41" s="1" t="str">
        <f t="shared" si="44"/>
        <v>2</v>
      </c>
      <c r="CD41" s="1" t="str">
        <f t="shared" si="45"/>
        <v>2</v>
      </c>
      <c r="CE41" s="1" t="str">
        <f t="shared" si="46"/>
        <v>2</v>
      </c>
      <c r="CF41" s="1" t="str">
        <f t="shared" si="47"/>
        <v>2</v>
      </c>
      <c r="CG41" s="1"/>
      <c r="CH41" s="1"/>
      <c r="CI41" s="1"/>
      <c r="CK41" s="1">
        <v>13</v>
      </c>
      <c r="CL41" s="1" t="str">
        <f t="shared" si="48"/>
        <v>1</v>
      </c>
      <c r="CM41" s="1" t="str">
        <f t="shared" si="49"/>
        <v>1</v>
      </c>
      <c r="CN41" s="1" t="str">
        <f t="shared" si="50"/>
        <v>2</v>
      </c>
      <c r="CO41" s="1" t="str">
        <f t="shared" si="51"/>
        <v>2</v>
      </c>
      <c r="CP41" s="1" t="str">
        <f t="shared" si="52"/>
        <v>2</v>
      </c>
      <c r="CQ41" s="1" t="str">
        <f t="shared" si="53"/>
        <v>2</v>
      </c>
      <c r="CR41" s="1"/>
      <c r="CS41" s="1"/>
      <c r="CT41" s="1"/>
    </row>
    <row r="42" spans="1:98" x14ac:dyDescent="0.35">
      <c r="A42" s="1">
        <v>14</v>
      </c>
      <c r="B42" s="1" t="str">
        <f t="shared" si="0"/>
        <v>2</v>
      </c>
      <c r="C42" s="1" t="str">
        <f t="shared" si="1"/>
        <v>2</v>
      </c>
      <c r="D42" s="1" t="str">
        <f t="shared" si="2"/>
        <v>2</v>
      </c>
      <c r="E42" s="1" t="str">
        <f t="shared" si="3"/>
        <v>2</v>
      </c>
      <c r="F42" s="1" t="str">
        <f t="shared" si="4"/>
        <v>2</v>
      </c>
      <c r="G42" s="1" t="str">
        <f t="shared" si="5"/>
        <v>1</v>
      </c>
      <c r="H42" s="1"/>
      <c r="I42" s="1"/>
      <c r="J42" s="1"/>
      <c r="L42" s="1">
        <v>14</v>
      </c>
      <c r="M42" s="1" t="str">
        <f t="shared" si="6"/>
        <v>2</v>
      </c>
      <c r="N42" s="1" t="str">
        <f t="shared" si="7"/>
        <v>2</v>
      </c>
      <c r="O42" s="1" t="str">
        <f t="shared" si="8"/>
        <v>2</v>
      </c>
      <c r="P42" s="1" t="str">
        <f t="shared" si="9"/>
        <v>2</v>
      </c>
      <c r="Q42" s="1" t="str">
        <f t="shared" si="10"/>
        <v>2</v>
      </c>
      <c r="R42" s="1" t="str">
        <f t="shared" si="11"/>
        <v>2</v>
      </c>
      <c r="S42" s="1"/>
      <c r="T42" s="1"/>
      <c r="U42" s="1"/>
      <c r="W42" s="1">
        <v>14</v>
      </c>
      <c r="X42" s="1" t="str">
        <f t="shared" si="12"/>
        <v>2</v>
      </c>
      <c r="Y42" s="1" t="str">
        <f t="shared" si="13"/>
        <v>2</v>
      </c>
      <c r="Z42" s="1" t="str">
        <f t="shared" si="14"/>
        <v>2</v>
      </c>
      <c r="AA42" s="1" t="str">
        <f t="shared" si="15"/>
        <v>2</v>
      </c>
      <c r="AB42" s="1" t="str">
        <f t="shared" si="16"/>
        <v>2</v>
      </c>
      <c r="AC42" s="1" t="str">
        <f t="shared" si="17"/>
        <v>2</v>
      </c>
      <c r="AD42" s="1"/>
      <c r="AE42" s="1"/>
      <c r="AF42" s="1"/>
      <c r="AH42" s="1">
        <v>14</v>
      </c>
      <c r="AI42" s="1" t="str">
        <f t="shared" si="18"/>
        <v>2</v>
      </c>
      <c r="AJ42" s="1" t="str">
        <f t="shared" si="19"/>
        <v>2</v>
      </c>
      <c r="AK42" s="1" t="str">
        <f t="shared" si="20"/>
        <v>2</v>
      </c>
      <c r="AL42" s="1" t="str">
        <f t="shared" si="21"/>
        <v>2</v>
      </c>
      <c r="AM42" s="1" t="str">
        <f t="shared" si="22"/>
        <v>2</v>
      </c>
      <c r="AN42" s="1" t="str">
        <f t="shared" si="23"/>
        <v>2</v>
      </c>
      <c r="AO42" s="1"/>
      <c r="AP42" s="1"/>
      <c r="AQ42" s="1"/>
      <c r="AS42" s="1">
        <v>14</v>
      </c>
      <c r="AT42" s="1" t="str">
        <f t="shared" si="24"/>
        <v>2</v>
      </c>
      <c r="AU42" s="1" t="str">
        <f t="shared" si="25"/>
        <v>2</v>
      </c>
      <c r="AV42" s="1" t="str">
        <f t="shared" si="26"/>
        <v>2</v>
      </c>
      <c r="AW42" s="1" t="str">
        <f t="shared" si="27"/>
        <v>2</v>
      </c>
      <c r="AX42" s="1" t="str">
        <f t="shared" si="28"/>
        <v>2</v>
      </c>
      <c r="AY42" s="1" t="str">
        <f t="shared" si="29"/>
        <v>2</v>
      </c>
      <c r="AZ42" s="1"/>
      <c r="BA42" s="1"/>
      <c r="BB42" s="1"/>
      <c r="BD42" s="1">
        <v>14</v>
      </c>
      <c r="BE42" s="1" t="str">
        <f t="shared" si="30"/>
        <v>1</v>
      </c>
      <c r="BF42" s="1" t="str">
        <f t="shared" si="31"/>
        <v>2</v>
      </c>
      <c r="BG42" s="1" t="str">
        <f t="shared" si="32"/>
        <v>2</v>
      </c>
      <c r="BH42" s="1" t="str">
        <f t="shared" si="33"/>
        <v>2</v>
      </c>
      <c r="BI42" s="1" t="str">
        <f t="shared" si="34"/>
        <v>2</v>
      </c>
      <c r="BJ42" s="1" t="str">
        <f t="shared" si="35"/>
        <v>2</v>
      </c>
      <c r="BK42" s="1"/>
      <c r="BL42" s="1"/>
      <c r="BM42" s="1"/>
      <c r="BO42" s="1">
        <v>14</v>
      </c>
      <c r="BP42" s="1" t="str">
        <f t="shared" si="36"/>
        <v>2</v>
      </c>
      <c r="BQ42" s="1" t="str">
        <f t="shared" si="37"/>
        <v>2</v>
      </c>
      <c r="BR42" s="1" t="str">
        <f t="shared" si="38"/>
        <v>2</v>
      </c>
      <c r="BS42" s="1" t="str">
        <f t="shared" si="39"/>
        <v>2</v>
      </c>
      <c r="BT42" s="1" t="str">
        <f t="shared" si="40"/>
        <v>2</v>
      </c>
      <c r="BU42" s="1" t="str">
        <f t="shared" si="41"/>
        <v>2</v>
      </c>
      <c r="BV42" s="1"/>
      <c r="BW42" s="1"/>
      <c r="BX42" s="1"/>
      <c r="BZ42" s="1">
        <v>14</v>
      </c>
      <c r="CA42" s="1" t="str">
        <f t="shared" si="42"/>
        <v>2</v>
      </c>
      <c r="CB42" s="1" t="str">
        <f t="shared" si="43"/>
        <v>2</v>
      </c>
      <c r="CC42" s="1" t="str">
        <f t="shared" si="44"/>
        <v>2</v>
      </c>
      <c r="CD42" s="1" t="str">
        <f t="shared" si="45"/>
        <v>2</v>
      </c>
      <c r="CE42" s="1" t="str">
        <f t="shared" si="46"/>
        <v>2</v>
      </c>
      <c r="CF42" s="1" t="str">
        <f t="shared" si="47"/>
        <v>2</v>
      </c>
      <c r="CG42" s="1"/>
      <c r="CH42" s="1"/>
      <c r="CI42" s="1"/>
      <c r="CK42" s="1">
        <v>14</v>
      </c>
      <c r="CL42" s="1" t="str">
        <f t="shared" si="48"/>
        <v>2</v>
      </c>
      <c r="CM42" s="1" t="str">
        <f t="shared" si="49"/>
        <v>2</v>
      </c>
      <c r="CN42" s="1" t="str">
        <f t="shared" si="50"/>
        <v>2</v>
      </c>
      <c r="CO42" s="1" t="str">
        <f t="shared" si="51"/>
        <v>2</v>
      </c>
      <c r="CP42" s="1" t="str">
        <f t="shared" si="52"/>
        <v>2</v>
      </c>
      <c r="CQ42" s="1" t="str">
        <f t="shared" si="53"/>
        <v>2</v>
      </c>
      <c r="CR42" s="1"/>
      <c r="CS42" s="1"/>
      <c r="CT42" s="1"/>
    </row>
    <row r="43" spans="1:98" x14ac:dyDescent="0.35">
      <c r="A43" s="1">
        <v>15</v>
      </c>
      <c r="B43" s="1" t="str">
        <f t="shared" si="0"/>
        <v>2</v>
      </c>
      <c r="C43" s="1" t="str">
        <f t="shared" si="1"/>
        <v>2</v>
      </c>
      <c r="D43" s="1" t="str">
        <f t="shared" si="2"/>
        <v>2</v>
      </c>
      <c r="E43" s="1" t="str">
        <f t="shared" si="3"/>
        <v>2</v>
      </c>
      <c r="F43" s="1" t="str">
        <f t="shared" si="4"/>
        <v>2</v>
      </c>
      <c r="G43" s="1" t="str">
        <f t="shared" si="5"/>
        <v>1</v>
      </c>
      <c r="H43" s="1"/>
      <c r="I43" s="1"/>
      <c r="J43" s="1"/>
      <c r="L43" s="1">
        <v>15</v>
      </c>
      <c r="M43" s="1" t="str">
        <f t="shared" si="6"/>
        <v>2</v>
      </c>
      <c r="N43" s="1" t="str">
        <f t="shared" si="7"/>
        <v>2</v>
      </c>
      <c r="O43" s="1" t="str">
        <f t="shared" si="8"/>
        <v>2</v>
      </c>
      <c r="P43" s="1" t="str">
        <f t="shared" si="9"/>
        <v>2</v>
      </c>
      <c r="Q43" s="1" t="str">
        <f t="shared" si="10"/>
        <v>2</v>
      </c>
      <c r="R43" s="1" t="str">
        <f t="shared" si="11"/>
        <v>1</v>
      </c>
      <c r="S43" s="1"/>
      <c r="T43" s="1"/>
      <c r="U43" s="1"/>
      <c r="W43" s="1">
        <v>15</v>
      </c>
      <c r="X43" s="1" t="str">
        <f t="shared" si="12"/>
        <v>2</v>
      </c>
      <c r="Y43" s="1" t="str">
        <f t="shared" si="13"/>
        <v>2</v>
      </c>
      <c r="Z43" s="1" t="str">
        <f t="shared" si="14"/>
        <v>1</v>
      </c>
      <c r="AA43" s="1" t="str">
        <f t="shared" si="15"/>
        <v>2</v>
      </c>
      <c r="AB43" s="1" t="str">
        <f t="shared" si="16"/>
        <v>2</v>
      </c>
      <c r="AC43" s="1" t="str">
        <f t="shared" si="17"/>
        <v>2</v>
      </c>
      <c r="AD43" s="1"/>
      <c r="AE43" s="1"/>
      <c r="AF43" s="1"/>
      <c r="AH43" s="1">
        <v>15</v>
      </c>
      <c r="AI43" s="1" t="str">
        <f t="shared" si="18"/>
        <v>2</v>
      </c>
      <c r="AJ43" s="1" t="str">
        <f t="shared" si="19"/>
        <v>2</v>
      </c>
      <c r="AK43" s="1" t="str">
        <f t="shared" si="20"/>
        <v>2</v>
      </c>
      <c r="AL43" s="1" t="str">
        <f t="shared" si="21"/>
        <v>2</v>
      </c>
      <c r="AM43" s="1" t="str">
        <f t="shared" si="22"/>
        <v>2</v>
      </c>
      <c r="AN43" s="1" t="str">
        <f t="shared" si="23"/>
        <v>1</v>
      </c>
      <c r="AO43" s="1"/>
      <c r="AP43" s="1"/>
      <c r="AQ43" s="1"/>
      <c r="AS43" s="1">
        <v>15</v>
      </c>
      <c r="AT43" s="1" t="str">
        <f t="shared" si="24"/>
        <v>2</v>
      </c>
      <c r="AU43" s="1" t="str">
        <f t="shared" si="25"/>
        <v>2</v>
      </c>
      <c r="AV43" s="1" t="str">
        <f t="shared" si="26"/>
        <v>2</v>
      </c>
      <c r="AW43" s="1" t="str">
        <f t="shared" si="27"/>
        <v>2</v>
      </c>
      <c r="AX43" s="1" t="str">
        <f t="shared" si="28"/>
        <v>2</v>
      </c>
      <c r="AY43" s="1" t="str">
        <f t="shared" si="29"/>
        <v>1</v>
      </c>
      <c r="AZ43" s="1"/>
      <c r="BA43" s="1"/>
      <c r="BB43" s="1"/>
      <c r="BD43" s="1">
        <v>15</v>
      </c>
      <c r="BE43" s="1" t="str">
        <f t="shared" si="30"/>
        <v>2</v>
      </c>
      <c r="BF43" s="1" t="str">
        <f t="shared" si="31"/>
        <v>1</v>
      </c>
      <c r="BG43" s="1" t="str">
        <f t="shared" si="32"/>
        <v>2</v>
      </c>
      <c r="BH43" s="1" t="str">
        <f t="shared" si="33"/>
        <v>2</v>
      </c>
      <c r="BI43" s="1" t="str">
        <f t="shared" si="34"/>
        <v>2</v>
      </c>
      <c r="BJ43" s="1" t="str">
        <f t="shared" si="35"/>
        <v>1</v>
      </c>
      <c r="BK43" s="1"/>
      <c r="BL43" s="1"/>
      <c r="BM43" s="1"/>
      <c r="BO43" s="1">
        <v>15</v>
      </c>
      <c r="BP43" s="1" t="str">
        <f t="shared" si="36"/>
        <v>2</v>
      </c>
      <c r="BQ43" s="1" t="str">
        <f t="shared" si="37"/>
        <v>2</v>
      </c>
      <c r="BR43" s="1" t="str">
        <f t="shared" si="38"/>
        <v>2</v>
      </c>
      <c r="BS43" s="1" t="str">
        <f t="shared" si="39"/>
        <v>2</v>
      </c>
      <c r="BT43" s="1" t="str">
        <f t="shared" si="40"/>
        <v>2</v>
      </c>
      <c r="BU43" s="1" t="str">
        <f t="shared" si="41"/>
        <v>1</v>
      </c>
      <c r="BV43" s="1"/>
      <c r="BW43" s="1"/>
      <c r="BX43" s="1"/>
      <c r="BZ43" s="1">
        <v>15</v>
      </c>
      <c r="CA43" s="1" t="str">
        <f t="shared" si="42"/>
        <v>2</v>
      </c>
      <c r="CB43" s="1" t="str">
        <f t="shared" si="43"/>
        <v>1</v>
      </c>
      <c r="CC43" s="1" t="str">
        <f t="shared" si="44"/>
        <v>2</v>
      </c>
      <c r="CD43" s="1" t="str">
        <f t="shared" si="45"/>
        <v>2</v>
      </c>
      <c r="CE43" s="1" t="str">
        <f t="shared" si="46"/>
        <v>2</v>
      </c>
      <c r="CF43" s="1" t="str">
        <f t="shared" si="47"/>
        <v>2</v>
      </c>
      <c r="CG43" s="1"/>
      <c r="CH43" s="1"/>
      <c r="CI43" s="1"/>
      <c r="CK43" s="1">
        <v>15</v>
      </c>
      <c r="CL43" s="1" t="str">
        <f t="shared" si="48"/>
        <v>2</v>
      </c>
      <c r="CM43" s="1" t="str">
        <f t="shared" si="49"/>
        <v>2</v>
      </c>
      <c r="CN43" s="1" t="str">
        <f t="shared" si="50"/>
        <v>2</v>
      </c>
      <c r="CO43" s="1" t="str">
        <f t="shared" si="51"/>
        <v>2</v>
      </c>
      <c r="CP43" s="1" t="str">
        <f t="shared" si="52"/>
        <v>2</v>
      </c>
      <c r="CQ43" s="1" t="str">
        <f t="shared" si="53"/>
        <v>1</v>
      </c>
      <c r="CR43" s="1"/>
      <c r="CS43" s="1"/>
      <c r="CT43" s="1"/>
    </row>
    <row r="44" spans="1:98" x14ac:dyDescent="0.35">
      <c r="A44" s="1">
        <v>16</v>
      </c>
      <c r="B44" s="1" t="str">
        <f t="shared" si="0"/>
        <v>2</v>
      </c>
      <c r="C44" s="1" t="str">
        <f t="shared" si="1"/>
        <v>2</v>
      </c>
      <c r="D44" s="1" t="str">
        <f t="shared" si="2"/>
        <v>2</v>
      </c>
      <c r="E44" s="1" t="str">
        <f t="shared" si="3"/>
        <v>2</v>
      </c>
      <c r="F44" s="1" t="str">
        <f t="shared" si="4"/>
        <v>2</v>
      </c>
      <c r="G44" s="1" t="str">
        <f t="shared" si="5"/>
        <v>1</v>
      </c>
      <c r="H44" s="1"/>
      <c r="I44" s="1"/>
      <c r="J44" s="1"/>
      <c r="L44" s="1">
        <v>16</v>
      </c>
      <c r="M44" s="1" t="str">
        <f t="shared" si="6"/>
        <v>2</v>
      </c>
      <c r="N44" s="1" t="str">
        <f t="shared" si="7"/>
        <v>2</v>
      </c>
      <c r="O44" s="1" t="str">
        <f t="shared" si="8"/>
        <v>2</v>
      </c>
      <c r="P44" s="1" t="str">
        <f t="shared" si="9"/>
        <v>2</v>
      </c>
      <c r="Q44" s="1" t="str">
        <f t="shared" si="10"/>
        <v>2</v>
      </c>
      <c r="R44" s="1" t="str">
        <f t="shared" si="11"/>
        <v>1</v>
      </c>
      <c r="S44" s="1"/>
      <c r="T44" s="1"/>
      <c r="U44" s="1"/>
      <c r="W44" s="1">
        <v>16</v>
      </c>
      <c r="X44" s="1" t="str">
        <f t="shared" si="12"/>
        <v>2</v>
      </c>
      <c r="Y44" s="1" t="str">
        <f t="shared" si="13"/>
        <v>2</v>
      </c>
      <c r="Z44" s="1" t="str">
        <f t="shared" si="14"/>
        <v>1</v>
      </c>
      <c r="AA44" s="1" t="str">
        <f t="shared" si="15"/>
        <v>2</v>
      </c>
      <c r="AB44" s="1" t="str">
        <f t="shared" si="16"/>
        <v>2</v>
      </c>
      <c r="AC44" s="1" t="str">
        <f t="shared" si="17"/>
        <v>2</v>
      </c>
      <c r="AD44" s="1"/>
      <c r="AE44" s="1"/>
      <c r="AF44" s="1"/>
      <c r="AH44" s="1">
        <v>16</v>
      </c>
      <c r="AI44" s="1" t="str">
        <f t="shared" si="18"/>
        <v>2</v>
      </c>
      <c r="AJ44" s="1" t="str">
        <f t="shared" si="19"/>
        <v>2</v>
      </c>
      <c r="AK44" s="1" t="str">
        <f t="shared" si="20"/>
        <v>2</v>
      </c>
      <c r="AL44" s="1" t="str">
        <f t="shared" si="21"/>
        <v>2</v>
      </c>
      <c r="AM44" s="1" t="str">
        <f t="shared" si="22"/>
        <v>2</v>
      </c>
      <c r="AN44" s="1" t="str">
        <f t="shared" si="23"/>
        <v>1</v>
      </c>
      <c r="AO44" s="1"/>
      <c r="AP44" s="1"/>
      <c r="AQ44" s="1"/>
      <c r="AS44" s="1">
        <v>16</v>
      </c>
      <c r="AT44" s="1" t="str">
        <f t="shared" si="24"/>
        <v>2</v>
      </c>
      <c r="AU44" s="1" t="str">
        <f t="shared" si="25"/>
        <v>2</v>
      </c>
      <c r="AV44" s="1" t="str">
        <f t="shared" si="26"/>
        <v>2</v>
      </c>
      <c r="AW44" s="1" t="str">
        <f t="shared" si="27"/>
        <v>2</v>
      </c>
      <c r="AX44" s="1" t="str">
        <f t="shared" si="28"/>
        <v>2</v>
      </c>
      <c r="AY44" s="1" t="str">
        <f t="shared" si="29"/>
        <v>1</v>
      </c>
      <c r="AZ44" s="1"/>
      <c r="BA44" s="1"/>
      <c r="BB44" s="1"/>
      <c r="BD44" s="1">
        <v>16</v>
      </c>
      <c r="BE44" s="1" t="str">
        <f t="shared" si="30"/>
        <v>2</v>
      </c>
      <c r="BF44" s="1" t="str">
        <f t="shared" si="31"/>
        <v>1</v>
      </c>
      <c r="BG44" s="1" t="str">
        <f t="shared" si="32"/>
        <v>2</v>
      </c>
      <c r="BH44" s="1" t="str">
        <f t="shared" si="33"/>
        <v>2</v>
      </c>
      <c r="BI44" s="1" t="str">
        <f t="shared" si="34"/>
        <v>2</v>
      </c>
      <c r="BJ44" s="1" t="str">
        <f t="shared" si="35"/>
        <v>1</v>
      </c>
      <c r="BK44" s="1"/>
      <c r="BL44" s="1"/>
      <c r="BM44" s="1"/>
      <c r="BO44" s="1">
        <v>16</v>
      </c>
      <c r="BP44" s="1" t="str">
        <f t="shared" si="36"/>
        <v>2</v>
      </c>
      <c r="BQ44" s="1" t="str">
        <f t="shared" si="37"/>
        <v>2</v>
      </c>
      <c r="BR44" s="1" t="str">
        <f t="shared" si="38"/>
        <v>2</v>
      </c>
      <c r="BS44" s="1" t="str">
        <f t="shared" si="39"/>
        <v>2</v>
      </c>
      <c r="BT44" s="1" t="str">
        <f t="shared" si="40"/>
        <v>2</v>
      </c>
      <c r="BU44" s="1" t="str">
        <f t="shared" si="41"/>
        <v>1</v>
      </c>
      <c r="BV44" s="1"/>
      <c r="BW44" s="1"/>
      <c r="BX44" s="1"/>
      <c r="BZ44" s="1">
        <v>16</v>
      </c>
      <c r="CA44" s="1" t="str">
        <f t="shared" si="42"/>
        <v>2</v>
      </c>
      <c r="CB44" s="1" t="str">
        <f t="shared" si="43"/>
        <v>1</v>
      </c>
      <c r="CC44" s="1" t="str">
        <f t="shared" si="44"/>
        <v>2</v>
      </c>
      <c r="CD44" s="1" t="str">
        <f t="shared" si="45"/>
        <v>2</v>
      </c>
      <c r="CE44" s="1" t="str">
        <f t="shared" si="46"/>
        <v>2</v>
      </c>
      <c r="CF44" s="1" t="str">
        <f t="shared" si="47"/>
        <v>2</v>
      </c>
      <c r="CG44" s="1"/>
      <c r="CH44" s="1"/>
      <c r="CI44" s="1"/>
      <c r="CK44" s="1">
        <v>16</v>
      </c>
      <c r="CL44" s="1" t="str">
        <f t="shared" si="48"/>
        <v>2</v>
      </c>
      <c r="CM44" s="1" t="str">
        <f t="shared" si="49"/>
        <v>2</v>
      </c>
      <c r="CN44" s="1" t="str">
        <f t="shared" si="50"/>
        <v>2</v>
      </c>
      <c r="CO44" s="1" t="str">
        <f t="shared" si="51"/>
        <v>2</v>
      </c>
      <c r="CP44" s="1" t="str">
        <f t="shared" si="52"/>
        <v>2</v>
      </c>
      <c r="CQ44" s="1" t="str">
        <f t="shared" si="53"/>
        <v>1</v>
      </c>
      <c r="CR44" s="1"/>
      <c r="CS44" s="1"/>
      <c r="CT44" s="1"/>
    </row>
    <row r="45" spans="1:98" x14ac:dyDescent="0.35">
      <c r="A45" s="1">
        <v>17</v>
      </c>
      <c r="B45" s="1" t="str">
        <f t="shared" si="0"/>
        <v/>
      </c>
      <c r="C45" s="1" t="str">
        <f t="shared" si="1"/>
        <v/>
      </c>
      <c r="D45" s="1" t="str">
        <f t="shared" si="2"/>
        <v/>
      </c>
      <c r="E45" s="1" t="str">
        <f t="shared" si="3"/>
        <v/>
      </c>
      <c r="F45" s="1" t="str">
        <f t="shared" si="4"/>
        <v/>
      </c>
      <c r="G45" s="1" t="str">
        <f t="shared" si="5"/>
        <v>2</v>
      </c>
      <c r="J45" s="1"/>
      <c r="L45" s="1">
        <v>17</v>
      </c>
      <c r="M45" s="1" t="str">
        <f t="shared" si="6"/>
        <v>2</v>
      </c>
      <c r="N45" s="1" t="str">
        <f t="shared" si="7"/>
        <v>2</v>
      </c>
      <c r="O45" s="1" t="str">
        <f t="shared" si="8"/>
        <v>2</v>
      </c>
      <c r="P45" s="1" t="str">
        <f t="shared" si="9"/>
        <v>2</v>
      </c>
      <c r="Q45" s="1" t="str">
        <f t="shared" si="10"/>
        <v>2</v>
      </c>
      <c r="R45" s="1" t="str">
        <f t="shared" si="11"/>
        <v>2</v>
      </c>
      <c r="U45" s="1"/>
      <c r="W45" s="1">
        <v>17</v>
      </c>
      <c r="X45" s="1" t="str">
        <f t="shared" si="12"/>
        <v>2</v>
      </c>
      <c r="Y45" s="1" t="str">
        <f t="shared" si="13"/>
        <v>2</v>
      </c>
      <c r="Z45" s="1" t="str">
        <f t="shared" si="14"/>
        <v>2</v>
      </c>
      <c r="AA45" s="1" t="str">
        <f t="shared" si="15"/>
        <v>2</v>
      </c>
      <c r="AB45" s="1" t="str">
        <f t="shared" si="16"/>
        <v>2</v>
      </c>
      <c r="AC45" s="1" t="str">
        <f t="shared" si="17"/>
        <v>2</v>
      </c>
      <c r="AF45" s="1"/>
      <c r="AH45" s="1">
        <v>17</v>
      </c>
      <c r="AI45" s="1" t="str">
        <f t="shared" si="18"/>
        <v>2</v>
      </c>
      <c r="AJ45" s="1" t="str">
        <f t="shared" si="19"/>
        <v>2</v>
      </c>
      <c r="AK45" s="1" t="str">
        <f t="shared" si="20"/>
        <v>2</v>
      </c>
      <c r="AL45" s="1" t="str">
        <f t="shared" si="21"/>
        <v>2</v>
      </c>
      <c r="AM45" s="1" t="str">
        <f t="shared" si="22"/>
        <v>2</v>
      </c>
      <c r="AN45" s="1" t="str">
        <f t="shared" si="23"/>
        <v>2</v>
      </c>
      <c r="AQ45" s="1"/>
      <c r="AS45" s="1">
        <v>17</v>
      </c>
      <c r="AT45" s="1" t="str">
        <f t="shared" si="24"/>
        <v>2</v>
      </c>
      <c r="AU45" s="1" t="str">
        <f t="shared" si="25"/>
        <v>2</v>
      </c>
      <c r="AV45" s="1" t="str">
        <f t="shared" si="26"/>
        <v>2</v>
      </c>
      <c r="AW45" s="1" t="str">
        <f t="shared" si="27"/>
        <v>2</v>
      </c>
      <c r="AX45" s="1" t="str">
        <f t="shared" si="28"/>
        <v>2</v>
      </c>
      <c r="AY45" s="1" t="str">
        <f t="shared" si="29"/>
        <v>2</v>
      </c>
      <c r="BB45" s="1"/>
      <c r="BD45" s="1">
        <v>17</v>
      </c>
      <c r="BE45" s="1" t="str">
        <f t="shared" si="30"/>
        <v>2</v>
      </c>
      <c r="BF45" s="1" t="str">
        <f t="shared" si="31"/>
        <v>1</v>
      </c>
      <c r="BG45" s="1" t="str">
        <f t="shared" si="32"/>
        <v>2</v>
      </c>
      <c r="BH45" s="1" t="str">
        <f t="shared" si="33"/>
        <v>2</v>
      </c>
      <c r="BI45" s="1" t="str">
        <f t="shared" si="34"/>
        <v>2</v>
      </c>
      <c r="BJ45" s="1" t="str">
        <f t="shared" si="35"/>
        <v>2</v>
      </c>
      <c r="BM45" s="1"/>
      <c r="BO45" s="1">
        <v>17</v>
      </c>
      <c r="BP45" s="1" t="str">
        <f t="shared" si="36"/>
        <v>2</v>
      </c>
      <c r="BQ45" s="1" t="str">
        <f t="shared" si="37"/>
        <v>2</v>
      </c>
      <c r="BR45" s="1" t="str">
        <f t="shared" si="38"/>
        <v>2</v>
      </c>
      <c r="BS45" s="1" t="str">
        <f t="shared" si="39"/>
        <v>2</v>
      </c>
      <c r="BT45" s="1" t="str">
        <f t="shared" si="40"/>
        <v>2</v>
      </c>
      <c r="BU45" s="1" t="str">
        <f t="shared" si="41"/>
        <v>2</v>
      </c>
      <c r="BX45" s="1"/>
      <c r="BZ45" s="1">
        <v>17</v>
      </c>
      <c r="CA45" s="1" t="str">
        <f t="shared" si="42"/>
        <v>2</v>
      </c>
      <c r="CB45" s="1" t="str">
        <f t="shared" si="43"/>
        <v>2</v>
      </c>
      <c r="CC45" s="1" t="str">
        <f t="shared" si="44"/>
        <v>2</v>
      </c>
      <c r="CD45" s="1" t="str">
        <f t="shared" si="45"/>
        <v>2</v>
      </c>
      <c r="CE45" s="1" t="str">
        <f t="shared" si="46"/>
        <v>2</v>
      </c>
      <c r="CF45" s="1" t="str">
        <f t="shared" si="47"/>
        <v>2</v>
      </c>
      <c r="CI45" s="1"/>
      <c r="CK45" s="1">
        <v>17</v>
      </c>
      <c r="CL45" s="1" t="str">
        <f t="shared" si="48"/>
        <v>2</v>
      </c>
      <c r="CM45" s="1" t="str">
        <f t="shared" si="49"/>
        <v>2</v>
      </c>
      <c r="CN45" s="1" t="str">
        <f t="shared" si="50"/>
        <v>2</v>
      </c>
      <c r="CO45" s="1" t="str">
        <f t="shared" si="51"/>
        <v>2</v>
      </c>
      <c r="CP45" s="1" t="str">
        <f t="shared" si="52"/>
        <v>2</v>
      </c>
      <c r="CQ45" s="1" t="str">
        <f t="shared" si="53"/>
        <v>2</v>
      </c>
      <c r="CT45" s="1"/>
    </row>
    <row r="46" spans="1:98" x14ac:dyDescent="0.35">
      <c r="A46" s="1">
        <v>18</v>
      </c>
      <c r="B46" s="1" t="str">
        <f t="shared" si="0"/>
        <v>2</v>
      </c>
      <c r="C46" s="1" t="str">
        <f t="shared" si="1"/>
        <v>2</v>
      </c>
      <c r="D46" s="1" t="str">
        <f t="shared" si="2"/>
        <v>1</v>
      </c>
      <c r="E46" s="1" t="str">
        <f t="shared" si="3"/>
        <v>2</v>
      </c>
      <c r="F46" s="1" t="str">
        <f t="shared" si="4"/>
        <v>2</v>
      </c>
      <c r="G46" s="1" t="str">
        <f t="shared" si="5"/>
        <v>1</v>
      </c>
      <c r="H46" s="1"/>
      <c r="J46" s="1"/>
      <c r="L46" s="1">
        <v>18</v>
      </c>
      <c r="M46" s="1" t="str">
        <f t="shared" si="6"/>
        <v>2</v>
      </c>
      <c r="N46" s="1" t="str">
        <f t="shared" si="7"/>
        <v>2</v>
      </c>
      <c r="O46" s="1" t="str">
        <f t="shared" si="8"/>
        <v>2</v>
      </c>
      <c r="P46" s="1" t="str">
        <f t="shared" si="9"/>
        <v>2</v>
      </c>
      <c r="Q46" s="1" t="str">
        <f t="shared" si="10"/>
        <v>2</v>
      </c>
      <c r="R46" s="1" t="str">
        <f t="shared" si="11"/>
        <v>2</v>
      </c>
      <c r="S46" s="1"/>
      <c r="U46" s="1"/>
      <c r="W46" s="1">
        <v>18</v>
      </c>
      <c r="X46" s="1" t="str">
        <f t="shared" si="12"/>
        <v>2</v>
      </c>
      <c r="Y46" s="1" t="str">
        <f t="shared" si="13"/>
        <v>2</v>
      </c>
      <c r="Z46" s="1" t="str">
        <f t="shared" si="14"/>
        <v>2</v>
      </c>
      <c r="AA46" s="1" t="str">
        <f t="shared" si="15"/>
        <v>2</v>
      </c>
      <c r="AB46" s="1" t="str">
        <f t="shared" si="16"/>
        <v>2</v>
      </c>
      <c r="AC46" s="1" t="str">
        <f t="shared" si="17"/>
        <v>2</v>
      </c>
      <c r="AD46" s="1"/>
      <c r="AF46" s="1"/>
      <c r="AH46" s="1">
        <v>18</v>
      </c>
      <c r="AI46" s="1" t="str">
        <f t="shared" si="18"/>
        <v>2</v>
      </c>
      <c r="AJ46" s="1" t="str">
        <f t="shared" si="19"/>
        <v>2</v>
      </c>
      <c r="AK46" s="1" t="str">
        <f t="shared" si="20"/>
        <v>2</v>
      </c>
      <c r="AL46" s="1" t="str">
        <f t="shared" si="21"/>
        <v>2</v>
      </c>
      <c r="AM46" s="1" t="str">
        <f t="shared" si="22"/>
        <v>2</v>
      </c>
      <c r="AN46" s="1" t="str">
        <f t="shared" si="23"/>
        <v>2</v>
      </c>
      <c r="AO46" s="1"/>
      <c r="AQ46" s="1"/>
      <c r="AS46" s="1">
        <v>18</v>
      </c>
      <c r="AT46" s="1" t="str">
        <f t="shared" si="24"/>
        <v>2</v>
      </c>
      <c r="AU46" s="1" t="str">
        <f t="shared" si="25"/>
        <v>2</v>
      </c>
      <c r="AV46" s="1" t="str">
        <f t="shared" si="26"/>
        <v>2</v>
      </c>
      <c r="AW46" s="1" t="str">
        <f t="shared" si="27"/>
        <v>2</v>
      </c>
      <c r="AX46" s="1" t="str">
        <f t="shared" si="28"/>
        <v>2</v>
      </c>
      <c r="AY46" s="1" t="str">
        <f t="shared" si="29"/>
        <v>2</v>
      </c>
      <c r="AZ46" s="1"/>
      <c r="BB46" s="1"/>
      <c r="BD46" s="1">
        <v>18</v>
      </c>
      <c r="BE46" s="1" t="str">
        <f t="shared" si="30"/>
        <v>2</v>
      </c>
      <c r="BF46" s="1" t="str">
        <f t="shared" si="31"/>
        <v>1</v>
      </c>
      <c r="BG46" s="1" t="str">
        <f t="shared" si="32"/>
        <v>2</v>
      </c>
      <c r="BH46" s="1" t="str">
        <f t="shared" si="33"/>
        <v>2</v>
      </c>
      <c r="BI46" s="1" t="str">
        <f t="shared" si="34"/>
        <v>2</v>
      </c>
      <c r="BJ46" s="1" t="str">
        <f t="shared" si="35"/>
        <v>2</v>
      </c>
      <c r="BK46" s="1"/>
      <c r="BM46" s="1"/>
      <c r="BO46" s="1">
        <v>18</v>
      </c>
      <c r="BP46" s="1" t="str">
        <f t="shared" si="36"/>
        <v>2</v>
      </c>
      <c r="BQ46" s="1" t="str">
        <f t="shared" si="37"/>
        <v>2</v>
      </c>
      <c r="BR46" s="1" t="str">
        <f t="shared" si="38"/>
        <v>2</v>
      </c>
      <c r="BS46" s="1" t="str">
        <f t="shared" si="39"/>
        <v>2</v>
      </c>
      <c r="BT46" s="1" t="str">
        <f t="shared" si="40"/>
        <v>2</v>
      </c>
      <c r="BU46" s="1" t="str">
        <f t="shared" si="41"/>
        <v>2</v>
      </c>
      <c r="BV46" s="1"/>
      <c r="BX46" s="1"/>
      <c r="BZ46" s="1">
        <v>18</v>
      </c>
      <c r="CA46" s="1" t="str">
        <f t="shared" si="42"/>
        <v>2</v>
      </c>
      <c r="CB46" s="1" t="str">
        <f t="shared" si="43"/>
        <v>2</v>
      </c>
      <c r="CC46" s="1" t="str">
        <f t="shared" si="44"/>
        <v>2</v>
      </c>
      <c r="CD46" s="1" t="str">
        <f t="shared" si="45"/>
        <v>2</v>
      </c>
      <c r="CE46" s="1" t="str">
        <f t="shared" si="46"/>
        <v>2</v>
      </c>
      <c r="CF46" s="1" t="str">
        <f t="shared" si="47"/>
        <v>2</v>
      </c>
      <c r="CG46" s="1"/>
      <c r="CI46" s="1"/>
      <c r="CK46" s="1">
        <v>18</v>
      </c>
      <c r="CL46" s="1" t="str">
        <f t="shared" si="48"/>
        <v>2</v>
      </c>
      <c r="CM46" s="1" t="str">
        <f t="shared" si="49"/>
        <v>2</v>
      </c>
      <c r="CN46" s="1" t="str">
        <f t="shared" si="50"/>
        <v>2</v>
      </c>
      <c r="CO46" s="1" t="str">
        <f t="shared" si="51"/>
        <v>2</v>
      </c>
      <c r="CP46" s="1" t="str">
        <f t="shared" si="52"/>
        <v>2</v>
      </c>
      <c r="CQ46" s="1" t="str">
        <f t="shared" si="53"/>
        <v>2</v>
      </c>
      <c r="CR46" s="1"/>
      <c r="CT46" s="1"/>
    </row>
    <row r="47" spans="1:98" x14ac:dyDescent="0.35">
      <c r="A47" s="1">
        <v>19</v>
      </c>
      <c r="B47" s="1" t="str">
        <f t="shared" si="0"/>
        <v/>
      </c>
      <c r="C47" s="1" t="str">
        <f t="shared" si="1"/>
        <v/>
      </c>
      <c r="D47" s="1" t="str">
        <f t="shared" si="2"/>
        <v/>
      </c>
      <c r="E47" s="1" t="str">
        <f t="shared" si="3"/>
        <v/>
      </c>
      <c r="F47" s="1" t="str">
        <f t="shared" si="4"/>
        <v/>
      </c>
      <c r="G47" s="1" t="str">
        <f t="shared" si="5"/>
        <v>2</v>
      </c>
      <c r="J47" s="1"/>
      <c r="L47" s="1">
        <v>19</v>
      </c>
      <c r="M47" s="1" t="str">
        <f t="shared" si="6"/>
        <v>2</v>
      </c>
      <c r="N47" s="1" t="str">
        <f t="shared" si="7"/>
        <v>2</v>
      </c>
      <c r="O47" s="1" t="str">
        <f t="shared" si="8"/>
        <v>1</v>
      </c>
      <c r="P47" s="1" t="str">
        <f t="shared" si="9"/>
        <v>2</v>
      </c>
      <c r="Q47" s="1" t="str">
        <f t="shared" si="10"/>
        <v>2</v>
      </c>
      <c r="R47" s="1" t="str">
        <f t="shared" si="11"/>
        <v>2</v>
      </c>
      <c r="U47" s="1"/>
      <c r="W47" s="1">
        <v>19</v>
      </c>
      <c r="X47" s="1" t="str">
        <f t="shared" si="12"/>
        <v>2</v>
      </c>
      <c r="Y47" s="1" t="str">
        <f t="shared" si="13"/>
        <v>3</v>
      </c>
      <c r="Z47" s="1" t="str">
        <f t="shared" si="14"/>
        <v>1</v>
      </c>
      <c r="AA47" s="1" t="str">
        <f t="shared" si="15"/>
        <v>2</v>
      </c>
      <c r="AB47" s="1" t="str">
        <f t="shared" si="16"/>
        <v>2</v>
      </c>
      <c r="AC47" s="1" t="str">
        <f t="shared" si="17"/>
        <v>2</v>
      </c>
      <c r="AF47" s="1"/>
      <c r="AH47" s="1">
        <v>19</v>
      </c>
      <c r="AI47" s="1" t="str">
        <f t="shared" si="18"/>
        <v>2</v>
      </c>
      <c r="AJ47" s="1" t="str">
        <f t="shared" si="19"/>
        <v>3</v>
      </c>
      <c r="AK47" s="1" t="str">
        <f t="shared" si="20"/>
        <v>1</v>
      </c>
      <c r="AL47" s="1" t="str">
        <f t="shared" si="21"/>
        <v>2</v>
      </c>
      <c r="AM47" s="1" t="str">
        <f t="shared" si="22"/>
        <v>2</v>
      </c>
      <c r="AN47" s="1" t="str">
        <f t="shared" si="23"/>
        <v>2</v>
      </c>
      <c r="AQ47" s="1"/>
      <c r="AS47" s="1">
        <v>19</v>
      </c>
      <c r="AT47" s="1" t="str">
        <f t="shared" si="24"/>
        <v>2</v>
      </c>
      <c r="AU47" s="1" t="str">
        <f t="shared" si="25"/>
        <v>2</v>
      </c>
      <c r="AV47" s="1" t="str">
        <f t="shared" si="26"/>
        <v>1</v>
      </c>
      <c r="AW47" s="1" t="str">
        <f t="shared" si="27"/>
        <v>2</v>
      </c>
      <c r="AX47" s="1" t="str">
        <f t="shared" si="28"/>
        <v>2</v>
      </c>
      <c r="AY47" s="1" t="str">
        <f t="shared" si="29"/>
        <v>2</v>
      </c>
      <c r="BB47" s="1"/>
      <c r="BD47" s="1">
        <v>19</v>
      </c>
      <c r="BE47" s="1" t="str">
        <f t="shared" si="30"/>
        <v>2</v>
      </c>
      <c r="BF47" s="1" t="str">
        <f t="shared" si="31"/>
        <v>2</v>
      </c>
      <c r="BG47" s="1" t="str">
        <f t="shared" si="32"/>
        <v>1</v>
      </c>
      <c r="BH47" s="1" t="str">
        <f t="shared" si="33"/>
        <v>2</v>
      </c>
      <c r="BI47" s="1" t="str">
        <f t="shared" si="34"/>
        <v>2</v>
      </c>
      <c r="BJ47" s="1" t="str">
        <f t="shared" si="35"/>
        <v>2</v>
      </c>
      <c r="BM47" s="1"/>
      <c r="BO47" s="1">
        <v>19</v>
      </c>
      <c r="BP47" s="1" t="str">
        <f t="shared" si="36"/>
        <v>2</v>
      </c>
      <c r="BQ47" s="1" t="str">
        <f t="shared" si="37"/>
        <v>3</v>
      </c>
      <c r="BR47" s="1" t="str">
        <f t="shared" si="38"/>
        <v>1</v>
      </c>
      <c r="BS47" s="1" t="str">
        <f t="shared" si="39"/>
        <v>2</v>
      </c>
      <c r="BT47" s="1" t="str">
        <f t="shared" si="40"/>
        <v>2</v>
      </c>
      <c r="BU47" s="1" t="str">
        <f t="shared" si="41"/>
        <v>2</v>
      </c>
      <c r="BX47" s="1"/>
      <c r="BZ47" s="1">
        <v>19</v>
      </c>
      <c r="CA47" s="1" t="str">
        <f t="shared" si="42"/>
        <v>2</v>
      </c>
      <c r="CB47" s="1" t="str">
        <f t="shared" si="43"/>
        <v>2</v>
      </c>
      <c r="CC47" s="1" t="str">
        <f t="shared" si="44"/>
        <v>1</v>
      </c>
      <c r="CD47" s="1" t="str">
        <f t="shared" si="45"/>
        <v>2</v>
      </c>
      <c r="CE47" s="1" t="str">
        <f t="shared" si="46"/>
        <v>2</v>
      </c>
      <c r="CF47" s="1" t="str">
        <f t="shared" si="47"/>
        <v>2</v>
      </c>
      <c r="CI47" s="1"/>
      <c r="CK47" s="1">
        <v>19</v>
      </c>
      <c r="CL47" s="1" t="str">
        <f t="shared" si="48"/>
        <v>2</v>
      </c>
      <c r="CM47" s="1" t="str">
        <f t="shared" si="49"/>
        <v>3</v>
      </c>
      <c r="CN47" s="1" t="str">
        <f t="shared" si="50"/>
        <v>1</v>
      </c>
      <c r="CO47" s="1" t="str">
        <f t="shared" si="51"/>
        <v>2</v>
      </c>
      <c r="CP47" s="1" t="str">
        <f t="shared" si="52"/>
        <v>2</v>
      </c>
      <c r="CQ47" s="1" t="str">
        <f t="shared" si="53"/>
        <v>2</v>
      </c>
      <c r="CT47" s="1"/>
    </row>
    <row r="48" spans="1:98" x14ac:dyDescent="0.35">
      <c r="A48" s="1">
        <v>20</v>
      </c>
      <c r="B48" s="1" t="str">
        <f t="shared" si="0"/>
        <v/>
      </c>
      <c r="C48" s="1" t="str">
        <f t="shared" si="1"/>
        <v/>
      </c>
      <c r="D48" s="1" t="str">
        <f t="shared" si="2"/>
        <v/>
      </c>
      <c r="E48" s="1" t="str">
        <f t="shared" si="3"/>
        <v/>
      </c>
      <c r="F48" s="1" t="str">
        <f t="shared" si="4"/>
        <v/>
      </c>
      <c r="G48" s="1" t="str">
        <f t="shared" si="5"/>
        <v>2</v>
      </c>
      <c r="H48" s="1"/>
      <c r="J48" s="1"/>
      <c r="L48" s="1">
        <v>20</v>
      </c>
      <c r="M48" s="1" t="str">
        <f t="shared" si="6"/>
        <v/>
      </c>
      <c r="N48" s="1" t="str">
        <f t="shared" si="7"/>
        <v/>
      </c>
      <c r="O48" s="1" t="str">
        <f t="shared" si="8"/>
        <v/>
      </c>
      <c r="P48" s="1" t="str">
        <f t="shared" si="9"/>
        <v/>
      </c>
      <c r="Q48" s="1" t="str">
        <f t="shared" si="10"/>
        <v/>
      </c>
      <c r="R48" s="1" t="str">
        <f t="shared" si="11"/>
        <v>2</v>
      </c>
      <c r="S48" s="1"/>
      <c r="U48" s="1"/>
      <c r="W48" s="1">
        <v>20</v>
      </c>
      <c r="X48" s="1" t="str">
        <f t="shared" si="12"/>
        <v>1</v>
      </c>
      <c r="Y48" s="1" t="str">
        <f t="shared" si="13"/>
        <v>2</v>
      </c>
      <c r="Z48" s="1" t="str">
        <f t="shared" si="14"/>
        <v>1</v>
      </c>
      <c r="AA48" s="1" t="str">
        <f t="shared" si="15"/>
        <v>2</v>
      </c>
      <c r="AB48" s="1" t="str">
        <f t="shared" si="16"/>
        <v>2</v>
      </c>
      <c r="AC48" s="1" t="str">
        <f t="shared" si="17"/>
        <v>2</v>
      </c>
      <c r="AD48" s="1"/>
      <c r="AF48" s="1"/>
      <c r="AH48" s="1">
        <v>20</v>
      </c>
      <c r="AI48" s="1" t="str">
        <f t="shared" si="18"/>
        <v>1</v>
      </c>
      <c r="AJ48" s="1" t="str">
        <f t="shared" si="19"/>
        <v>2</v>
      </c>
      <c r="AK48" s="1" t="str">
        <f t="shared" si="20"/>
        <v>1</v>
      </c>
      <c r="AL48" s="1" t="str">
        <f t="shared" si="21"/>
        <v>2</v>
      </c>
      <c r="AM48" s="1" t="str">
        <f t="shared" si="22"/>
        <v>2</v>
      </c>
      <c r="AN48" s="1" t="str">
        <f t="shared" si="23"/>
        <v>2</v>
      </c>
      <c r="AO48" s="1"/>
      <c r="AQ48" s="1"/>
      <c r="AS48" s="1">
        <v>20</v>
      </c>
      <c r="AT48" s="1" t="str">
        <f t="shared" si="24"/>
        <v/>
      </c>
      <c r="AU48" s="1" t="str">
        <f t="shared" si="25"/>
        <v/>
      </c>
      <c r="AV48" s="1" t="str">
        <f t="shared" si="26"/>
        <v/>
      </c>
      <c r="AW48" s="1" t="str">
        <f t="shared" si="27"/>
        <v/>
      </c>
      <c r="AX48" s="1" t="str">
        <f t="shared" si="28"/>
        <v/>
      </c>
      <c r="AY48" s="1" t="str">
        <f t="shared" si="29"/>
        <v>2</v>
      </c>
      <c r="AZ48" s="1"/>
      <c r="BB48" s="1"/>
      <c r="BD48" s="1">
        <v>20</v>
      </c>
      <c r="BE48" s="1" t="str">
        <f t="shared" si="30"/>
        <v/>
      </c>
      <c r="BF48" s="1" t="str">
        <f t="shared" si="31"/>
        <v/>
      </c>
      <c r="BG48" s="1" t="str">
        <f t="shared" si="32"/>
        <v/>
      </c>
      <c r="BH48" s="1" t="str">
        <f t="shared" si="33"/>
        <v/>
      </c>
      <c r="BI48" s="1" t="str">
        <f t="shared" si="34"/>
        <v/>
      </c>
      <c r="BJ48" s="1" t="str">
        <f t="shared" si="35"/>
        <v>2</v>
      </c>
      <c r="BK48" s="1"/>
      <c r="BM48" s="1"/>
      <c r="BO48" s="1">
        <v>20</v>
      </c>
      <c r="BP48" s="1" t="str">
        <f t="shared" si="36"/>
        <v>1</v>
      </c>
      <c r="BQ48" s="1" t="str">
        <f t="shared" si="37"/>
        <v>2</v>
      </c>
      <c r="BR48" s="1" t="str">
        <f t="shared" si="38"/>
        <v>1</v>
      </c>
      <c r="BS48" s="1" t="str">
        <f t="shared" si="39"/>
        <v>2</v>
      </c>
      <c r="BT48" s="1" t="str">
        <f t="shared" si="40"/>
        <v>2</v>
      </c>
      <c r="BU48" s="1" t="str">
        <f t="shared" si="41"/>
        <v>2</v>
      </c>
      <c r="BV48" s="1"/>
      <c r="BX48" s="1"/>
      <c r="BZ48" s="1">
        <v>20</v>
      </c>
      <c r="CA48" s="1" t="str">
        <f t="shared" si="42"/>
        <v>1</v>
      </c>
      <c r="CB48" s="1" t="str">
        <f t="shared" si="43"/>
        <v>1</v>
      </c>
      <c r="CC48" s="1" t="str">
        <f t="shared" si="44"/>
        <v>1</v>
      </c>
      <c r="CD48" s="1" t="str">
        <f t="shared" si="45"/>
        <v>2</v>
      </c>
      <c r="CE48" s="1" t="str">
        <f t="shared" si="46"/>
        <v>2</v>
      </c>
      <c r="CF48" s="1" t="str">
        <f t="shared" si="47"/>
        <v>2</v>
      </c>
      <c r="CG48" s="1"/>
      <c r="CI48" s="1"/>
      <c r="CK48" s="1">
        <v>20</v>
      </c>
      <c r="CL48" s="1" t="str">
        <f t="shared" si="48"/>
        <v>1</v>
      </c>
      <c r="CM48" s="1" t="str">
        <f t="shared" si="49"/>
        <v>2</v>
      </c>
      <c r="CN48" s="1" t="str">
        <f t="shared" si="50"/>
        <v>1</v>
      </c>
      <c r="CO48" s="1" t="str">
        <f t="shared" si="51"/>
        <v>2</v>
      </c>
      <c r="CP48" s="1" t="str">
        <f t="shared" si="52"/>
        <v>2</v>
      </c>
      <c r="CQ48" s="1" t="str">
        <f t="shared" si="53"/>
        <v>2</v>
      </c>
      <c r="CR48" s="1"/>
      <c r="CT48" s="1"/>
    </row>
    <row r="49" spans="1:98" x14ac:dyDescent="0.35">
      <c r="A49" s="1">
        <v>21</v>
      </c>
      <c r="B49" s="1" t="str">
        <f t="shared" si="0"/>
        <v>1</v>
      </c>
      <c r="C49" s="1" t="str">
        <f t="shared" si="1"/>
        <v>2</v>
      </c>
      <c r="D49" s="1" t="str">
        <f t="shared" si="2"/>
        <v>2</v>
      </c>
      <c r="E49" s="1" t="str">
        <f t="shared" si="3"/>
        <v>2</v>
      </c>
      <c r="F49" s="1" t="str">
        <f t="shared" si="4"/>
        <v>2</v>
      </c>
      <c r="G49" s="1" t="str">
        <f t="shared" si="5"/>
        <v>1</v>
      </c>
      <c r="H49" s="1"/>
      <c r="I49" s="1"/>
      <c r="J49" s="1"/>
      <c r="L49" s="1">
        <v>21</v>
      </c>
      <c r="M49" s="1" t="str">
        <f t="shared" si="6"/>
        <v>1</v>
      </c>
      <c r="N49" s="1" t="str">
        <f t="shared" si="7"/>
        <v>2</v>
      </c>
      <c r="O49" s="1" t="str">
        <f t="shared" si="8"/>
        <v>2</v>
      </c>
      <c r="P49" s="1" t="str">
        <f t="shared" si="9"/>
        <v>2</v>
      </c>
      <c r="Q49" s="1" t="str">
        <f t="shared" si="10"/>
        <v>2</v>
      </c>
      <c r="R49" s="1" t="str">
        <f t="shared" si="11"/>
        <v>2</v>
      </c>
      <c r="S49" s="1"/>
      <c r="T49" s="1"/>
      <c r="U49" s="1"/>
      <c r="W49" s="1">
        <v>21</v>
      </c>
      <c r="X49" s="1" t="str">
        <f t="shared" si="12"/>
        <v>1</v>
      </c>
      <c r="Y49" s="1" t="str">
        <f t="shared" si="13"/>
        <v>2</v>
      </c>
      <c r="Z49" s="1" t="str">
        <f t="shared" si="14"/>
        <v>2</v>
      </c>
      <c r="AA49" s="1" t="str">
        <f t="shared" si="15"/>
        <v>2</v>
      </c>
      <c r="AB49" s="1" t="str">
        <f t="shared" si="16"/>
        <v>2</v>
      </c>
      <c r="AC49" s="1" t="str">
        <f t="shared" si="17"/>
        <v>2</v>
      </c>
      <c r="AD49" s="1"/>
      <c r="AE49" s="1"/>
      <c r="AF49" s="1"/>
      <c r="AH49" s="1">
        <v>21</v>
      </c>
      <c r="AI49" s="1" t="str">
        <f t="shared" si="18"/>
        <v>1</v>
      </c>
      <c r="AJ49" s="1" t="str">
        <f t="shared" si="19"/>
        <v>2</v>
      </c>
      <c r="AK49" s="1" t="str">
        <f t="shared" si="20"/>
        <v>2</v>
      </c>
      <c r="AL49" s="1" t="str">
        <f t="shared" si="21"/>
        <v>2</v>
      </c>
      <c r="AM49" s="1" t="str">
        <f t="shared" si="22"/>
        <v>2</v>
      </c>
      <c r="AN49" s="1" t="str">
        <f t="shared" si="23"/>
        <v>2</v>
      </c>
      <c r="AO49" s="1"/>
      <c r="AP49" s="1"/>
      <c r="AQ49" s="1"/>
      <c r="AS49" s="1">
        <v>21</v>
      </c>
      <c r="AT49" s="1" t="str">
        <f t="shared" si="24"/>
        <v>1</v>
      </c>
      <c r="AU49" s="1" t="str">
        <f t="shared" si="25"/>
        <v>2</v>
      </c>
      <c r="AV49" s="1" t="str">
        <f t="shared" si="26"/>
        <v>2</v>
      </c>
      <c r="AW49" s="1" t="str">
        <f t="shared" si="27"/>
        <v>2</v>
      </c>
      <c r="AX49" s="1" t="str">
        <f t="shared" si="28"/>
        <v>2</v>
      </c>
      <c r="AY49" s="1" t="str">
        <f t="shared" si="29"/>
        <v>1</v>
      </c>
      <c r="AZ49" s="1"/>
      <c r="BA49" s="1"/>
      <c r="BB49" s="1"/>
      <c r="BD49" s="1">
        <v>21</v>
      </c>
      <c r="BE49" s="1" t="str">
        <f t="shared" si="30"/>
        <v>1</v>
      </c>
      <c r="BF49" s="1" t="str">
        <f t="shared" si="31"/>
        <v>1</v>
      </c>
      <c r="BG49" s="1" t="str">
        <f t="shared" si="32"/>
        <v>2</v>
      </c>
      <c r="BH49" s="1" t="str">
        <f t="shared" si="33"/>
        <v>2</v>
      </c>
      <c r="BI49" s="1" t="str">
        <f t="shared" si="34"/>
        <v>2</v>
      </c>
      <c r="BJ49" s="1" t="str">
        <f t="shared" si="35"/>
        <v>1</v>
      </c>
      <c r="BK49" s="1"/>
      <c r="BL49" s="1"/>
      <c r="BM49" s="1"/>
      <c r="BO49" s="1">
        <v>21</v>
      </c>
      <c r="BP49" s="1" t="str">
        <f t="shared" si="36"/>
        <v>1</v>
      </c>
      <c r="BQ49" s="1" t="str">
        <f t="shared" si="37"/>
        <v>2</v>
      </c>
      <c r="BR49" s="1" t="str">
        <f t="shared" si="38"/>
        <v>2</v>
      </c>
      <c r="BS49" s="1" t="str">
        <f t="shared" si="39"/>
        <v>2</v>
      </c>
      <c r="BT49" s="1" t="str">
        <f t="shared" si="40"/>
        <v>2</v>
      </c>
      <c r="BU49" s="1" t="str">
        <f t="shared" si="41"/>
        <v>1</v>
      </c>
      <c r="BV49" s="1"/>
      <c r="BW49" s="1"/>
      <c r="BX49" s="1"/>
      <c r="BZ49" s="1">
        <v>21</v>
      </c>
      <c r="CA49" s="1" t="str">
        <f t="shared" si="42"/>
        <v/>
      </c>
      <c r="CB49" s="1" t="str">
        <f t="shared" si="43"/>
        <v/>
      </c>
      <c r="CC49" s="1" t="str">
        <f t="shared" si="44"/>
        <v/>
      </c>
      <c r="CD49" s="1" t="str">
        <f t="shared" si="45"/>
        <v/>
      </c>
      <c r="CE49" s="1" t="str">
        <f t="shared" si="46"/>
        <v/>
      </c>
      <c r="CF49" s="1" t="str">
        <f t="shared" si="47"/>
        <v>2</v>
      </c>
      <c r="CG49" s="1"/>
      <c r="CH49" s="1"/>
      <c r="CI49" s="1"/>
      <c r="CK49" s="1">
        <v>21</v>
      </c>
      <c r="CL49" s="1" t="str">
        <f t="shared" si="48"/>
        <v>1</v>
      </c>
      <c r="CM49" s="1" t="str">
        <f t="shared" si="49"/>
        <v>2</v>
      </c>
      <c r="CN49" s="1" t="str">
        <f t="shared" si="50"/>
        <v>2</v>
      </c>
      <c r="CO49" s="1" t="str">
        <f t="shared" si="51"/>
        <v>2</v>
      </c>
      <c r="CP49" s="1" t="str">
        <f t="shared" si="52"/>
        <v>2</v>
      </c>
      <c r="CQ49" s="1" t="str">
        <f t="shared" si="53"/>
        <v>1</v>
      </c>
      <c r="CR49" s="1"/>
      <c r="CS49" s="1"/>
      <c r="CT49" s="1"/>
    </row>
    <row r="50" spans="1:98" x14ac:dyDescent="0.35">
      <c r="B50" s="1" t="str">
        <f t="shared" si="0"/>
        <v>1</v>
      </c>
      <c r="C50" s="1" t="str">
        <f t="shared" si="1"/>
        <v>2</v>
      </c>
      <c r="D50" s="1" t="str">
        <f t="shared" si="2"/>
        <v>2</v>
      </c>
      <c r="E50" s="1" t="str">
        <f t="shared" si="3"/>
        <v>2</v>
      </c>
      <c r="F50" s="1" t="str">
        <f t="shared" si="4"/>
        <v>2</v>
      </c>
      <c r="G50" s="1" t="str">
        <f t="shared" si="5"/>
        <v>1</v>
      </c>
      <c r="H50" s="1"/>
      <c r="I50" s="1"/>
      <c r="M50" s="1" t="str">
        <f t="shared" si="6"/>
        <v>1</v>
      </c>
      <c r="N50" s="1" t="str">
        <f t="shared" si="7"/>
        <v>2</v>
      </c>
      <c r="O50" s="1" t="str">
        <f t="shared" si="8"/>
        <v>2</v>
      </c>
      <c r="P50" s="1" t="str">
        <f t="shared" si="9"/>
        <v>2</v>
      </c>
      <c r="Q50" s="1" t="str">
        <f t="shared" si="10"/>
        <v>2</v>
      </c>
      <c r="R50" s="1" t="str">
        <f t="shared" si="11"/>
        <v>2</v>
      </c>
      <c r="S50" s="1"/>
      <c r="T50" s="1"/>
      <c r="X50" s="1" t="str">
        <f t="shared" si="12"/>
        <v>1</v>
      </c>
      <c r="Y50" s="1" t="str">
        <f t="shared" si="13"/>
        <v>2</v>
      </c>
      <c r="Z50" s="1" t="str">
        <f t="shared" si="14"/>
        <v>1</v>
      </c>
      <c r="AA50" s="1" t="str">
        <f t="shared" si="15"/>
        <v>2</v>
      </c>
      <c r="AB50" s="1" t="str">
        <f t="shared" si="16"/>
        <v>2</v>
      </c>
      <c r="AC50" s="1" t="str">
        <f t="shared" si="17"/>
        <v>2</v>
      </c>
      <c r="AD50" s="1"/>
      <c r="AE50" s="1"/>
      <c r="AI50" s="1" t="str">
        <f t="shared" si="18"/>
        <v>1</v>
      </c>
      <c r="AJ50" s="1" t="str">
        <f t="shared" si="19"/>
        <v>2</v>
      </c>
      <c r="AK50" s="1" t="str">
        <f t="shared" si="20"/>
        <v>2</v>
      </c>
      <c r="AL50" s="1" t="str">
        <f t="shared" si="21"/>
        <v>2</v>
      </c>
      <c r="AM50" s="1" t="str">
        <f t="shared" si="22"/>
        <v>2</v>
      </c>
      <c r="AN50" s="1" t="str">
        <f t="shared" si="23"/>
        <v>2</v>
      </c>
      <c r="AO50" s="1"/>
      <c r="AP50" s="1"/>
      <c r="AT50" s="1" t="str">
        <f t="shared" si="24"/>
        <v>1</v>
      </c>
      <c r="AU50" s="1" t="str">
        <f t="shared" si="25"/>
        <v>2</v>
      </c>
      <c r="AV50" s="1" t="str">
        <f t="shared" si="26"/>
        <v>2</v>
      </c>
      <c r="AW50" s="1" t="str">
        <f t="shared" si="27"/>
        <v>2</v>
      </c>
      <c r="AX50" s="1" t="str">
        <f t="shared" si="28"/>
        <v>2</v>
      </c>
      <c r="AY50" s="1" t="str">
        <f t="shared" si="29"/>
        <v>1</v>
      </c>
      <c r="AZ50" s="1"/>
      <c r="BA50" s="1"/>
      <c r="BE50" s="1" t="str">
        <f t="shared" si="30"/>
        <v>1</v>
      </c>
      <c r="BF50" s="1" t="str">
        <f t="shared" si="31"/>
        <v>1</v>
      </c>
      <c r="BG50" s="1" t="str">
        <f t="shared" si="32"/>
        <v>2</v>
      </c>
      <c r="BH50" s="1" t="str">
        <f t="shared" si="33"/>
        <v>2</v>
      </c>
      <c r="BI50" s="1" t="str">
        <f t="shared" si="34"/>
        <v>2</v>
      </c>
      <c r="BJ50" s="1" t="str">
        <f t="shared" si="35"/>
        <v>1</v>
      </c>
      <c r="BK50" s="1"/>
      <c r="BL50" s="1"/>
      <c r="BP50" s="1" t="str">
        <f t="shared" si="36"/>
        <v>1</v>
      </c>
      <c r="BQ50" s="1" t="str">
        <f t="shared" si="37"/>
        <v>2</v>
      </c>
      <c r="BR50" s="1" t="str">
        <f t="shared" si="38"/>
        <v>2</v>
      </c>
      <c r="BS50" s="1" t="str">
        <f t="shared" si="39"/>
        <v>2</v>
      </c>
      <c r="BT50" s="1" t="str">
        <f t="shared" si="40"/>
        <v>2</v>
      </c>
      <c r="BU50" s="1" t="str">
        <f t="shared" si="41"/>
        <v>1</v>
      </c>
      <c r="BV50" s="1"/>
      <c r="BW50" s="1"/>
      <c r="CA50" s="1" t="str">
        <f t="shared" si="42"/>
        <v/>
      </c>
      <c r="CB50" s="1" t="str">
        <f t="shared" si="43"/>
        <v/>
      </c>
      <c r="CC50" s="1" t="str">
        <f t="shared" si="44"/>
        <v/>
      </c>
      <c r="CD50" s="1" t="str">
        <f t="shared" si="45"/>
        <v/>
      </c>
      <c r="CE50" s="1" t="str">
        <f t="shared" si="46"/>
        <v/>
      </c>
      <c r="CF50" s="1" t="str">
        <f t="shared" si="47"/>
        <v>2</v>
      </c>
      <c r="CG50" s="1"/>
      <c r="CH50" s="1"/>
      <c r="CL50" s="1" t="str">
        <f t="shared" si="48"/>
        <v>1</v>
      </c>
      <c r="CM50" s="1" t="str">
        <f t="shared" si="49"/>
        <v>2</v>
      </c>
      <c r="CN50" s="1" t="str">
        <f t="shared" si="50"/>
        <v>2</v>
      </c>
      <c r="CO50" s="1" t="str">
        <f t="shared" si="51"/>
        <v>2</v>
      </c>
      <c r="CP50" s="1" t="str">
        <f t="shared" si="52"/>
        <v>2</v>
      </c>
      <c r="CQ50" s="1" t="str">
        <f t="shared" si="53"/>
        <v>1</v>
      </c>
      <c r="CR50" s="1"/>
      <c r="CS50" s="1"/>
    </row>
  </sheetData>
  <mergeCells count="9">
    <mergeCell ref="BP1:BX1"/>
    <mergeCell ref="CA1:CI1"/>
    <mergeCell ref="CL1:CT1"/>
    <mergeCell ref="B1:J1"/>
    <mergeCell ref="M1:U1"/>
    <mergeCell ref="X1:AF1"/>
    <mergeCell ref="AI1:AQ1"/>
    <mergeCell ref="AT1:BB1"/>
    <mergeCell ref="BE1:BM1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B22BD-0E04-4451-9397-FD24B4840F26}">
  <sheetPr>
    <tabColor theme="5" tint="-0.249977111117893"/>
  </sheetPr>
  <dimension ref="A1:Q25"/>
  <sheetViews>
    <sheetView workbookViewId="0">
      <selection activeCell="K36" sqref="K36"/>
    </sheetView>
  </sheetViews>
  <sheetFormatPr defaultRowHeight="14.5" x14ac:dyDescent="0.35"/>
  <cols>
    <col min="1" max="1" width="18.1796875" bestFit="1" customWidth="1"/>
    <col min="2" max="2" width="9.26953125" bestFit="1" customWidth="1"/>
    <col min="3" max="3" width="9.36328125" bestFit="1" customWidth="1"/>
    <col min="4" max="5" width="26.1796875" bestFit="1" customWidth="1"/>
    <col min="6" max="6" width="11.81640625" bestFit="1" customWidth="1"/>
    <col min="7" max="7" width="24.36328125" bestFit="1" customWidth="1"/>
    <col min="8" max="8" width="18.6328125" bestFit="1" customWidth="1"/>
    <col min="9" max="9" width="20.1796875" bestFit="1" customWidth="1"/>
    <col min="10" max="10" width="17" bestFit="1" customWidth="1"/>
    <col min="11" max="13" width="12.08984375" bestFit="1" customWidth="1"/>
    <col min="14" max="17" width="13.90625" bestFit="1" customWidth="1"/>
  </cols>
  <sheetData>
    <row r="1" spans="1:17" x14ac:dyDescent="0.35">
      <c r="I1" s="99" t="s">
        <v>197</v>
      </c>
      <c r="J1" s="100"/>
      <c r="K1" s="100"/>
      <c r="L1" s="100"/>
      <c r="M1" s="100"/>
      <c r="N1" s="100"/>
      <c r="O1" s="100"/>
      <c r="P1" s="100"/>
      <c r="Q1" s="101"/>
    </row>
    <row r="2" spans="1:17" x14ac:dyDescent="0.35">
      <c r="I2" s="80" t="s">
        <v>136</v>
      </c>
      <c r="J2" s="81">
        <f t="shared" ref="J2:Q2" si="0">AVERAGE(J17:J21)</f>
        <v>45</v>
      </c>
      <c r="K2" s="81">
        <f t="shared" si="0"/>
        <v>30</v>
      </c>
      <c r="L2" s="81">
        <f t="shared" si="0"/>
        <v>38.200000000000003</v>
      </c>
      <c r="M2" s="81">
        <f t="shared" si="0"/>
        <v>38</v>
      </c>
      <c r="N2" s="81">
        <f t="shared" si="0"/>
        <v>62.8</v>
      </c>
      <c r="O2" s="81">
        <f t="shared" si="0"/>
        <v>45.6</v>
      </c>
      <c r="P2" s="81">
        <f t="shared" si="0"/>
        <v>46.4</v>
      </c>
      <c r="Q2" s="81">
        <f t="shared" si="0"/>
        <v>29.6</v>
      </c>
    </row>
    <row r="3" spans="1:17" x14ac:dyDescent="0.35">
      <c r="I3" s="80" t="s">
        <v>157</v>
      </c>
      <c r="J3" s="81">
        <f t="shared" ref="J3:Q3" si="1">STDEV(J17:J21)</f>
        <v>6.164414002968976</v>
      </c>
      <c r="K3" s="81">
        <f t="shared" si="1"/>
        <v>6.5192024052026492</v>
      </c>
      <c r="L3" s="81">
        <f t="shared" si="1"/>
        <v>8.7005746936624853</v>
      </c>
      <c r="M3" s="81">
        <f t="shared" si="1"/>
        <v>9.8234413521942496</v>
      </c>
      <c r="N3" s="81">
        <f t="shared" si="1"/>
        <v>10.733126291998982</v>
      </c>
      <c r="O3" s="81">
        <f t="shared" si="1"/>
        <v>3.3615472627943221</v>
      </c>
      <c r="P3" s="81">
        <f t="shared" si="1"/>
        <v>12.739701723352875</v>
      </c>
      <c r="Q3" s="81">
        <f t="shared" si="1"/>
        <v>3.7815340802378015</v>
      </c>
    </row>
    <row r="4" spans="1:17" x14ac:dyDescent="0.35">
      <c r="I4" s="82" t="s">
        <v>158</v>
      </c>
      <c r="J4" s="83">
        <f t="shared" ref="J4:Q4" si="2">MEDIAN(J17:J21)</f>
        <v>45</v>
      </c>
      <c r="K4" s="83">
        <f t="shared" si="2"/>
        <v>28</v>
      </c>
      <c r="L4" s="83">
        <f t="shared" si="2"/>
        <v>35</v>
      </c>
      <c r="M4" s="83">
        <f t="shared" si="2"/>
        <v>41</v>
      </c>
      <c r="N4" s="83">
        <f t="shared" si="2"/>
        <v>65</v>
      </c>
      <c r="O4" s="83">
        <f t="shared" si="2"/>
        <v>45</v>
      </c>
      <c r="P4" s="83">
        <f t="shared" si="2"/>
        <v>54</v>
      </c>
      <c r="Q4" s="83">
        <f t="shared" si="2"/>
        <v>28</v>
      </c>
    </row>
    <row r="5" spans="1:17" x14ac:dyDescent="0.35">
      <c r="I5" s="80" t="s">
        <v>159</v>
      </c>
      <c r="J5" s="81">
        <f>J7-J6</f>
        <v>10</v>
      </c>
      <c r="K5" s="81">
        <f t="shared" ref="K5:Q5" si="3">K7-K6</f>
        <v>3</v>
      </c>
      <c r="L5" s="81">
        <f t="shared" si="3"/>
        <v>16</v>
      </c>
      <c r="M5" s="81">
        <f t="shared" si="3"/>
        <v>14</v>
      </c>
      <c r="N5" s="81">
        <f t="shared" si="3"/>
        <v>8</v>
      </c>
      <c r="O5" s="81">
        <f t="shared" si="3"/>
        <v>2</v>
      </c>
      <c r="P5" s="81">
        <f t="shared" si="3"/>
        <v>23</v>
      </c>
      <c r="Q5" s="81">
        <f t="shared" si="3"/>
        <v>5</v>
      </c>
    </row>
    <row r="6" spans="1:17" x14ac:dyDescent="0.35">
      <c r="I6" s="80" t="s">
        <v>160</v>
      </c>
      <c r="J6" s="81">
        <f t="shared" ref="J6:Q6" si="4">QUARTILE(J17:J21,1)</f>
        <v>39</v>
      </c>
      <c r="K6" s="81">
        <f t="shared" si="4"/>
        <v>27</v>
      </c>
      <c r="L6" s="81">
        <f t="shared" si="4"/>
        <v>31</v>
      </c>
      <c r="M6" s="81">
        <f t="shared" si="4"/>
        <v>32</v>
      </c>
      <c r="N6" s="81">
        <f t="shared" si="4"/>
        <v>59</v>
      </c>
      <c r="O6" s="81">
        <f t="shared" si="4"/>
        <v>44</v>
      </c>
      <c r="P6" s="81">
        <f t="shared" si="4"/>
        <v>33</v>
      </c>
      <c r="Q6" s="81">
        <f t="shared" si="4"/>
        <v>28</v>
      </c>
    </row>
    <row r="7" spans="1:17" x14ac:dyDescent="0.35">
      <c r="I7" s="80" t="s">
        <v>161</v>
      </c>
      <c r="J7" s="81">
        <f t="shared" ref="J7:Q7" si="5">QUARTILE(J17:J21,3)</f>
        <v>49</v>
      </c>
      <c r="K7" s="81">
        <f t="shared" si="5"/>
        <v>30</v>
      </c>
      <c r="L7" s="81">
        <f t="shared" si="5"/>
        <v>47</v>
      </c>
      <c r="M7" s="81">
        <f t="shared" si="5"/>
        <v>46</v>
      </c>
      <c r="N7" s="81">
        <f t="shared" si="5"/>
        <v>67</v>
      </c>
      <c r="O7" s="81">
        <f t="shared" si="5"/>
        <v>46</v>
      </c>
      <c r="P7" s="81">
        <f t="shared" si="5"/>
        <v>56</v>
      </c>
      <c r="Q7" s="81">
        <f t="shared" si="5"/>
        <v>33</v>
      </c>
    </row>
    <row r="8" spans="1:17" x14ac:dyDescent="0.35">
      <c r="C8" s="84"/>
      <c r="D8" s="84"/>
      <c r="E8" s="84"/>
      <c r="F8" s="84"/>
      <c r="G8" s="84"/>
      <c r="H8" s="84"/>
      <c r="I8" s="99" t="s">
        <v>198</v>
      </c>
      <c r="J8" s="100"/>
      <c r="K8" s="100"/>
      <c r="L8" s="100"/>
      <c r="M8" s="100"/>
      <c r="N8" s="100"/>
      <c r="O8" s="100"/>
      <c r="P8" s="100"/>
      <c r="Q8" s="101"/>
    </row>
    <row r="9" spans="1:17" ht="43.5" x14ac:dyDescent="0.35">
      <c r="C9" s="84"/>
      <c r="D9" s="84"/>
      <c r="E9" s="80"/>
      <c r="F9" s="85" t="s">
        <v>162</v>
      </c>
      <c r="G9" s="80" t="s">
        <v>124</v>
      </c>
      <c r="H9" s="86" t="s">
        <v>125</v>
      </c>
      <c r="I9" s="80" t="s">
        <v>136</v>
      </c>
      <c r="J9" s="81">
        <f t="shared" ref="J9:Q9" si="6">AVERAGE(J22:J23)</f>
        <v>55.5</v>
      </c>
      <c r="K9" s="81">
        <f t="shared" si="6"/>
        <v>68</v>
      </c>
      <c r="L9" s="81">
        <f t="shared" si="6"/>
        <v>70.5</v>
      </c>
      <c r="M9" s="81">
        <f t="shared" si="6"/>
        <v>121</v>
      </c>
      <c r="N9" s="81">
        <f t="shared" si="6"/>
        <v>61.5</v>
      </c>
      <c r="O9" s="81">
        <f t="shared" si="6"/>
        <v>58</v>
      </c>
      <c r="P9" s="81">
        <f t="shared" si="6"/>
        <v>78</v>
      </c>
      <c r="Q9" s="81">
        <f t="shared" si="6"/>
        <v>94.5</v>
      </c>
    </row>
    <row r="10" spans="1:17" x14ac:dyDescent="0.35">
      <c r="B10" s="84"/>
      <c r="C10" s="84"/>
      <c r="D10" s="80" t="s">
        <v>163</v>
      </c>
      <c r="E10" s="80">
        <f>AVERAGE(G17:G21)</f>
        <v>6.9620000000000006</v>
      </c>
      <c r="F10" s="80">
        <f>AVERAGE(H17:H21)</f>
        <v>2.38</v>
      </c>
      <c r="G10" s="86">
        <f>AVERAGE(I17:I21)</f>
        <v>0.14599999999999999</v>
      </c>
      <c r="H10" s="80" t="s">
        <v>157</v>
      </c>
      <c r="I10" s="80" t="s">
        <v>157</v>
      </c>
      <c r="J10" s="81">
        <f>STDEV(J22:J23)</f>
        <v>0.70710678118654757</v>
      </c>
      <c r="K10" s="81">
        <f t="shared" ref="K10:Q10" si="7">STDEV(K22:K23)</f>
        <v>25.45584412271571</v>
      </c>
      <c r="L10" s="81">
        <f t="shared" si="7"/>
        <v>3.5355339059327378</v>
      </c>
      <c r="M10" s="81">
        <f t="shared" si="7"/>
        <v>49.497474683058329</v>
      </c>
      <c r="N10" s="81">
        <f t="shared" si="7"/>
        <v>3.5355339059327378</v>
      </c>
      <c r="O10" s="81">
        <f t="shared" si="7"/>
        <v>7.0710678118654755</v>
      </c>
      <c r="P10" s="81">
        <f t="shared" si="7"/>
        <v>5.6568542494923806</v>
      </c>
      <c r="Q10" s="81">
        <f t="shared" si="7"/>
        <v>48.790367901871782</v>
      </c>
    </row>
    <row r="11" spans="1:17" x14ac:dyDescent="0.35">
      <c r="B11" s="84"/>
      <c r="C11" s="84"/>
      <c r="D11" s="80" t="s">
        <v>164</v>
      </c>
      <c r="E11" s="80">
        <f>AVERAGE(G22:G23)</f>
        <v>5.415</v>
      </c>
      <c r="F11" s="87">
        <f>AVERAGE(H22:H23)</f>
        <v>3.5999999999999996</v>
      </c>
      <c r="G11" s="86">
        <f>AVERAGE(I22:I23)</f>
        <v>6.0000000000000005E-2</v>
      </c>
      <c r="H11" s="82" t="s">
        <v>158</v>
      </c>
      <c r="I11" s="82" t="s">
        <v>158</v>
      </c>
      <c r="J11" s="83">
        <f>MEDIAN(J22:J23)</f>
        <v>55.5</v>
      </c>
      <c r="K11" s="83">
        <f t="shared" ref="K11:Q11" si="8">MEDIAN(K22:K23)</f>
        <v>68</v>
      </c>
      <c r="L11" s="83">
        <f t="shared" si="8"/>
        <v>70.5</v>
      </c>
      <c r="M11" s="83">
        <f t="shared" si="8"/>
        <v>121</v>
      </c>
      <c r="N11" s="83">
        <f t="shared" si="8"/>
        <v>61.5</v>
      </c>
      <c r="O11" s="83">
        <f t="shared" si="8"/>
        <v>58</v>
      </c>
      <c r="P11" s="83">
        <f t="shared" si="8"/>
        <v>78</v>
      </c>
      <c r="Q11" s="83">
        <f t="shared" si="8"/>
        <v>94.5</v>
      </c>
    </row>
    <row r="12" spans="1:17" x14ac:dyDescent="0.35">
      <c r="B12" s="84"/>
      <c r="C12" s="84"/>
      <c r="D12" s="80" t="s">
        <v>165</v>
      </c>
      <c r="E12" s="80">
        <f>STDEV(G17:G21)</f>
        <v>0.95200840332425307</v>
      </c>
      <c r="F12" s="80">
        <f>STDEV(H17:H21)</f>
        <v>0.85556998544829865</v>
      </c>
      <c r="G12" s="86">
        <f>STDEV(I17:I21)</f>
        <v>0.10358571330062849</v>
      </c>
      <c r="H12" s="80" t="s">
        <v>159</v>
      </c>
      <c r="I12" s="80" t="s">
        <v>159</v>
      </c>
      <c r="J12" s="81">
        <f>J14-J13</f>
        <v>0.5</v>
      </c>
      <c r="K12" s="81">
        <f t="shared" ref="K12:Q12" si="9">K14-K13</f>
        <v>18</v>
      </c>
      <c r="L12" s="81">
        <f t="shared" si="9"/>
        <v>2.5</v>
      </c>
      <c r="M12" s="81">
        <f t="shared" si="9"/>
        <v>35</v>
      </c>
      <c r="N12" s="81">
        <f t="shared" si="9"/>
        <v>2.5</v>
      </c>
      <c r="O12" s="81">
        <f t="shared" si="9"/>
        <v>5</v>
      </c>
      <c r="P12" s="81">
        <f t="shared" si="9"/>
        <v>4</v>
      </c>
      <c r="Q12" s="81">
        <f t="shared" si="9"/>
        <v>34.5</v>
      </c>
    </row>
    <row r="13" spans="1:17" x14ac:dyDescent="0.35">
      <c r="B13" s="84"/>
      <c r="C13" s="84"/>
      <c r="D13" s="80" t="s">
        <v>166</v>
      </c>
      <c r="E13" s="80">
        <f>STDEV(G22:G23)</f>
        <v>0.58689862838483442</v>
      </c>
      <c r="F13" s="80">
        <f>STDEV(H22:H23)</f>
        <v>0.98994949366116858</v>
      </c>
      <c r="G13" s="86">
        <f>STDEV(I22:I23)</f>
        <v>5.6568542494923803E-2</v>
      </c>
      <c r="H13" s="80" t="s">
        <v>160</v>
      </c>
      <c r="I13" s="80" t="s">
        <v>160</v>
      </c>
      <c r="J13" s="81">
        <f>QUARTILE(J22:J23,1)</f>
        <v>55.25</v>
      </c>
      <c r="K13" s="81">
        <f t="shared" ref="K13:P13" si="10">QUARTILE(K22:K23,1)</f>
        <v>59</v>
      </c>
      <c r="L13" s="81">
        <f t="shared" si="10"/>
        <v>69.25</v>
      </c>
      <c r="M13" s="81">
        <f t="shared" si="10"/>
        <v>103.5</v>
      </c>
      <c r="N13" s="81">
        <f t="shared" si="10"/>
        <v>60.25</v>
      </c>
      <c r="O13" s="81">
        <f t="shared" si="10"/>
        <v>55.5</v>
      </c>
      <c r="P13" s="81">
        <f t="shared" si="10"/>
        <v>76</v>
      </c>
      <c r="Q13" s="81">
        <f>QUARTILE(Q22:Q23,1)</f>
        <v>77.25</v>
      </c>
    </row>
    <row r="14" spans="1:17" x14ac:dyDescent="0.35">
      <c r="B14" s="84"/>
      <c r="C14" s="84"/>
      <c r="D14" s="84"/>
      <c r="E14" s="84"/>
      <c r="F14" s="84"/>
      <c r="G14" s="84"/>
      <c r="H14" s="80" t="s">
        <v>161</v>
      </c>
      <c r="I14" s="80" t="s">
        <v>161</v>
      </c>
      <c r="J14" s="81">
        <f>QUARTILE(J22:J23,3)</f>
        <v>55.75</v>
      </c>
      <c r="K14" s="81">
        <f t="shared" ref="K14:Q14" si="11">QUARTILE(K22:K23,3)</f>
        <v>77</v>
      </c>
      <c r="L14" s="81">
        <f t="shared" si="11"/>
        <v>71.75</v>
      </c>
      <c r="M14" s="81">
        <f t="shared" si="11"/>
        <v>138.5</v>
      </c>
      <c r="N14" s="81">
        <f t="shared" si="11"/>
        <v>62.75</v>
      </c>
      <c r="O14" s="81">
        <f t="shared" si="11"/>
        <v>60.5</v>
      </c>
      <c r="P14" s="81">
        <f t="shared" si="11"/>
        <v>80</v>
      </c>
      <c r="Q14" s="81">
        <f t="shared" si="11"/>
        <v>111.75</v>
      </c>
    </row>
    <row r="15" spans="1:17" x14ac:dyDescent="0.35">
      <c r="A15" s="80" t="s">
        <v>128</v>
      </c>
      <c r="B15" s="80" t="s">
        <v>167</v>
      </c>
      <c r="C15" s="80" t="s">
        <v>168</v>
      </c>
      <c r="D15" s="80" t="s">
        <v>169</v>
      </c>
      <c r="E15" s="80" t="s">
        <v>170</v>
      </c>
      <c r="F15" s="80" t="s">
        <v>171</v>
      </c>
      <c r="G15" s="80" t="s">
        <v>172</v>
      </c>
      <c r="H15" s="80" t="s">
        <v>124</v>
      </c>
      <c r="I15" s="80" t="s">
        <v>173</v>
      </c>
      <c r="J15" s="80" t="s">
        <v>174</v>
      </c>
      <c r="K15" s="80" t="s">
        <v>175</v>
      </c>
      <c r="L15" s="80" t="s">
        <v>176</v>
      </c>
      <c r="M15" s="80" t="s">
        <v>177</v>
      </c>
      <c r="N15" s="80" t="s">
        <v>178</v>
      </c>
      <c r="O15" s="80" t="s">
        <v>179</v>
      </c>
      <c r="P15" s="80" t="s">
        <v>180</v>
      </c>
      <c r="Q15" s="80" t="s">
        <v>181</v>
      </c>
    </row>
    <row r="16" spans="1:17" x14ac:dyDescent="0.35">
      <c r="A16" s="1"/>
      <c r="B16" s="68"/>
      <c r="C16" s="68"/>
      <c r="D16" s="1"/>
      <c r="E16" s="1"/>
      <c r="F16" s="1"/>
      <c r="G16" s="80"/>
      <c r="H16" s="80"/>
      <c r="I16" s="80"/>
      <c r="J16" s="68"/>
      <c r="K16" s="68"/>
      <c r="L16" s="80"/>
      <c r="M16" s="80"/>
      <c r="N16" s="68"/>
      <c r="O16" s="68"/>
      <c r="P16" s="80"/>
      <c r="Q16" s="80"/>
    </row>
    <row r="17" spans="1:17" x14ac:dyDescent="0.35">
      <c r="A17" s="1" t="s">
        <v>189</v>
      </c>
      <c r="B17" s="68">
        <v>9</v>
      </c>
      <c r="C17" s="68" t="s">
        <v>182</v>
      </c>
      <c r="D17" s="1" t="s">
        <v>183</v>
      </c>
      <c r="E17" s="1"/>
      <c r="F17" s="1"/>
      <c r="G17" s="80">
        <v>6.27</v>
      </c>
      <c r="H17" s="80">
        <v>2.8</v>
      </c>
      <c r="I17" s="80">
        <v>0.25</v>
      </c>
      <c r="J17" s="68">
        <v>53</v>
      </c>
      <c r="K17" s="68">
        <v>30</v>
      </c>
      <c r="L17" s="80">
        <v>48</v>
      </c>
      <c r="M17" s="80">
        <v>46</v>
      </c>
      <c r="N17" s="68">
        <v>76</v>
      </c>
      <c r="O17" s="68">
        <v>46</v>
      </c>
      <c r="P17" s="80">
        <v>56</v>
      </c>
      <c r="Q17" s="80">
        <v>34</v>
      </c>
    </row>
    <row r="18" spans="1:17" x14ac:dyDescent="0.35">
      <c r="A18" s="1" t="s">
        <v>190</v>
      </c>
      <c r="B18" s="68">
        <v>9</v>
      </c>
      <c r="C18" s="68" t="s">
        <v>184</v>
      </c>
      <c r="D18" s="1" t="s">
        <v>183</v>
      </c>
      <c r="E18" s="1"/>
      <c r="F18" s="1"/>
      <c r="G18" s="80">
        <v>7.11</v>
      </c>
      <c r="H18" s="80">
        <v>3.3</v>
      </c>
      <c r="I18" s="80">
        <v>0.1</v>
      </c>
      <c r="J18" s="68">
        <v>39</v>
      </c>
      <c r="K18" s="68">
        <v>24</v>
      </c>
      <c r="L18" s="80">
        <v>47</v>
      </c>
      <c r="M18" s="80">
        <v>41</v>
      </c>
      <c r="N18" s="68">
        <v>65</v>
      </c>
      <c r="O18" s="68">
        <v>44</v>
      </c>
      <c r="P18" s="80">
        <v>54</v>
      </c>
      <c r="Q18" s="80">
        <v>33</v>
      </c>
    </row>
    <row r="19" spans="1:17" x14ac:dyDescent="0.35">
      <c r="A19" s="1" t="s">
        <v>191</v>
      </c>
      <c r="B19" s="68">
        <v>9</v>
      </c>
      <c r="C19" s="68" t="s">
        <v>185</v>
      </c>
      <c r="D19" s="1" t="s">
        <v>183</v>
      </c>
      <c r="E19" s="1"/>
      <c r="F19" s="1"/>
      <c r="G19" s="80">
        <v>6.27</v>
      </c>
      <c r="H19" s="80">
        <v>2.8</v>
      </c>
      <c r="I19" s="80">
        <v>0.25</v>
      </c>
      <c r="J19" s="68">
        <v>39</v>
      </c>
      <c r="K19" s="68">
        <v>28</v>
      </c>
      <c r="L19" s="80">
        <v>30</v>
      </c>
      <c r="M19" s="80">
        <v>24</v>
      </c>
      <c r="N19" s="68">
        <v>47</v>
      </c>
      <c r="O19" s="68">
        <v>42</v>
      </c>
      <c r="P19" s="80">
        <v>33</v>
      </c>
      <c r="Q19" s="80">
        <v>25</v>
      </c>
    </row>
    <row r="20" spans="1:17" x14ac:dyDescent="0.35">
      <c r="A20" s="1" t="s">
        <v>192</v>
      </c>
      <c r="B20" s="68">
        <v>9</v>
      </c>
      <c r="C20" s="68" t="s">
        <v>186</v>
      </c>
      <c r="D20" s="1" t="s">
        <v>183</v>
      </c>
      <c r="E20" s="1"/>
      <c r="F20" s="1"/>
      <c r="G20" s="68">
        <v>8.5500000000000007</v>
      </c>
      <c r="H20" s="68">
        <v>1.2</v>
      </c>
      <c r="I20" s="68">
        <v>0.01</v>
      </c>
      <c r="J20" s="68">
        <v>45</v>
      </c>
      <c r="K20" s="68">
        <v>27</v>
      </c>
      <c r="L20" s="68">
        <v>31</v>
      </c>
      <c r="M20" s="68">
        <v>47</v>
      </c>
      <c r="N20" s="68">
        <v>67</v>
      </c>
      <c r="O20" s="68">
        <v>45</v>
      </c>
      <c r="P20" s="68">
        <v>57</v>
      </c>
      <c r="Q20" s="68">
        <v>28</v>
      </c>
    </row>
    <row r="21" spans="1:17" x14ac:dyDescent="0.35">
      <c r="A21" s="1" t="s">
        <v>193</v>
      </c>
      <c r="B21" s="68">
        <v>9</v>
      </c>
      <c r="C21" s="68" t="s">
        <v>187</v>
      </c>
      <c r="D21" s="1" t="s">
        <v>183</v>
      </c>
      <c r="E21" s="1"/>
      <c r="F21" s="1"/>
      <c r="G21" s="68">
        <v>6.61</v>
      </c>
      <c r="H21" s="68">
        <v>1.8</v>
      </c>
      <c r="I21" s="68">
        <v>0.12</v>
      </c>
      <c r="J21" s="68">
        <v>49</v>
      </c>
      <c r="K21" s="68">
        <v>41</v>
      </c>
      <c r="L21" s="68">
        <v>35</v>
      </c>
      <c r="M21" s="68">
        <v>32</v>
      </c>
      <c r="N21" s="68">
        <v>59</v>
      </c>
      <c r="O21" s="68">
        <v>51</v>
      </c>
      <c r="P21" s="68">
        <v>32</v>
      </c>
      <c r="Q21" s="68">
        <v>28</v>
      </c>
    </row>
    <row r="22" spans="1:17" x14ac:dyDescent="0.35">
      <c r="A22" s="1" t="s">
        <v>194</v>
      </c>
      <c r="B22" s="68">
        <v>9</v>
      </c>
      <c r="C22" s="68" t="s">
        <v>188</v>
      </c>
      <c r="D22" s="1" t="s">
        <v>183</v>
      </c>
      <c r="E22" s="1"/>
      <c r="F22" s="1"/>
      <c r="G22" s="68">
        <v>5.83</v>
      </c>
      <c r="H22" s="68">
        <v>4.3</v>
      </c>
      <c r="I22" s="68">
        <v>0.1</v>
      </c>
      <c r="J22" s="68">
        <v>55</v>
      </c>
      <c r="K22" s="68">
        <v>50</v>
      </c>
      <c r="L22" s="68">
        <v>68</v>
      </c>
      <c r="M22" s="68">
        <v>86</v>
      </c>
      <c r="N22" s="68">
        <v>59</v>
      </c>
      <c r="O22" s="68">
        <v>63</v>
      </c>
      <c r="P22" s="68">
        <v>74</v>
      </c>
      <c r="Q22" s="68">
        <v>60</v>
      </c>
    </row>
    <row r="23" spans="1:17" x14ac:dyDescent="0.35">
      <c r="A23" s="1" t="s">
        <v>195</v>
      </c>
      <c r="B23" s="68">
        <v>9</v>
      </c>
      <c r="C23" s="68" t="s">
        <v>100</v>
      </c>
      <c r="D23" s="1" t="s">
        <v>183</v>
      </c>
      <c r="E23" s="1"/>
      <c r="F23" s="1"/>
      <c r="G23" s="68">
        <v>5</v>
      </c>
      <c r="H23" s="68">
        <v>2.9</v>
      </c>
      <c r="I23" s="68">
        <v>0.02</v>
      </c>
      <c r="J23" s="68">
        <v>56</v>
      </c>
      <c r="K23" s="68">
        <v>86</v>
      </c>
      <c r="L23" s="68">
        <v>73</v>
      </c>
      <c r="M23" s="68">
        <v>156</v>
      </c>
      <c r="N23" s="68">
        <v>64</v>
      </c>
      <c r="O23" s="68">
        <v>53</v>
      </c>
      <c r="P23" s="68">
        <v>82</v>
      </c>
      <c r="Q23" s="68">
        <v>129</v>
      </c>
    </row>
    <row r="24" spans="1:17" x14ac:dyDescent="0.35">
      <c r="B24" s="69"/>
      <c r="C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</row>
    <row r="25" spans="1:17" x14ac:dyDescent="0.35">
      <c r="B25" s="69"/>
      <c r="C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</row>
  </sheetData>
  <mergeCells count="2">
    <mergeCell ref="I8:Q8"/>
    <mergeCell ref="I1:Q1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FC404-6619-4368-864D-66D7062D5161}">
  <sheetPr>
    <tabColor theme="7"/>
  </sheetPr>
  <dimension ref="A1"/>
  <sheetViews>
    <sheetView workbookViewId="0">
      <selection activeCell="H11" sqref="H11"/>
    </sheetView>
  </sheetViews>
  <sheetFormatPr defaultRowHeight="14.5" x14ac:dyDescent="0.35"/>
  <cols>
    <col min="1" max="16384" width="8.7265625" style="79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1D3D-6E10-4F1A-BEFB-92507B4CDB7D}">
  <sheetPr>
    <tabColor theme="7"/>
  </sheetPr>
  <dimension ref="A1:AE222"/>
  <sheetViews>
    <sheetView zoomScale="60" zoomScaleNormal="60" workbookViewId="0">
      <selection activeCell="B10" sqref="B10"/>
    </sheetView>
  </sheetViews>
  <sheetFormatPr defaultRowHeight="14.5" x14ac:dyDescent="0.35"/>
  <cols>
    <col min="1" max="1" width="24.36328125" style="16" bestFit="1" customWidth="1"/>
    <col min="2" max="2" width="21.26953125" style="16" bestFit="1" customWidth="1"/>
    <col min="3" max="3" width="31.453125" style="16" bestFit="1" customWidth="1"/>
    <col min="4" max="4" width="10.36328125" style="16" bestFit="1" customWidth="1"/>
    <col min="5" max="5" width="7.6328125" style="16" bestFit="1" customWidth="1"/>
    <col min="6" max="6" width="8.26953125" style="16" bestFit="1" customWidth="1"/>
    <col min="7" max="7" width="19.90625" style="16" bestFit="1" customWidth="1"/>
    <col min="8" max="8" width="13.36328125" style="16" bestFit="1" customWidth="1"/>
    <col min="9" max="9" width="10.7265625" style="16" bestFit="1" customWidth="1"/>
    <col min="10" max="10" width="12.36328125" style="16" bestFit="1" customWidth="1"/>
    <col min="11" max="11" width="18.26953125" style="16" bestFit="1" customWidth="1"/>
    <col min="12" max="12" width="15.08984375" style="16" bestFit="1" customWidth="1"/>
    <col min="13" max="13" width="26.26953125" style="16" bestFit="1" customWidth="1"/>
    <col min="14" max="14" width="7.36328125" style="16" bestFit="1" customWidth="1"/>
    <col min="15" max="15" width="5.81640625" style="16" bestFit="1" customWidth="1"/>
    <col min="16" max="16" width="17.1796875" style="16" bestFit="1" customWidth="1"/>
    <col min="17" max="17" width="20.1796875" style="16" bestFit="1" customWidth="1"/>
    <col min="18" max="18" width="17.54296875" style="16" bestFit="1" customWidth="1"/>
    <col min="19" max="19" width="48.08984375" style="16" bestFit="1" customWidth="1"/>
    <col min="20" max="20" width="47.54296875" style="16" bestFit="1" customWidth="1"/>
    <col min="21" max="21" width="48.08984375" style="16" bestFit="1" customWidth="1"/>
    <col min="22" max="22" width="48.81640625" style="16" bestFit="1" customWidth="1"/>
    <col min="23" max="23" width="47.54296875" style="16" bestFit="1" customWidth="1"/>
    <col min="24" max="24" width="11.26953125" style="16" bestFit="1" customWidth="1"/>
    <col min="25" max="25" width="11.453125" style="16" bestFit="1" customWidth="1"/>
    <col min="26" max="26" width="17.1796875" style="16" bestFit="1" customWidth="1"/>
    <col min="27" max="27" width="12.36328125" style="16" bestFit="1" customWidth="1"/>
    <col min="28" max="28" width="19.6328125" style="16" bestFit="1" customWidth="1"/>
    <col min="29" max="29" width="19.453125" style="16" bestFit="1" customWidth="1"/>
    <col min="30" max="30" width="20.81640625" style="16" bestFit="1" customWidth="1"/>
    <col min="31" max="31" width="14.7265625" style="16" bestFit="1" customWidth="1"/>
    <col min="32" max="16384" width="8.7265625" style="16"/>
  </cols>
  <sheetData>
    <row r="1" spans="1:23" ht="72" customHeight="1" x14ac:dyDescent="0.35">
      <c r="A1" s="51" t="s">
        <v>133</v>
      </c>
      <c r="B1" s="13"/>
      <c r="C1" s="13"/>
      <c r="D1" s="35" t="s">
        <v>3</v>
      </c>
      <c r="E1" s="35" t="s">
        <v>4</v>
      </c>
      <c r="F1" s="35" t="s">
        <v>10</v>
      </c>
      <c r="G1" s="35" t="s">
        <v>17</v>
      </c>
      <c r="H1" s="35" t="s">
        <v>19</v>
      </c>
      <c r="I1" s="35" t="s">
        <v>20</v>
      </c>
      <c r="J1" s="35" t="s">
        <v>21</v>
      </c>
      <c r="K1" s="35" t="s">
        <v>22</v>
      </c>
      <c r="L1" s="35" t="s">
        <v>23</v>
      </c>
      <c r="M1" s="35" t="s">
        <v>24</v>
      </c>
      <c r="N1" s="52"/>
      <c r="O1" s="53"/>
      <c r="P1" s="53"/>
      <c r="Q1" s="53"/>
    </row>
    <row r="2" spans="1:23" x14ac:dyDescent="0.35">
      <c r="A2" s="36"/>
      <c r="B2" s="36"/>
      <c r="C2" s="63" t="s">
        <v>68</v>
      </c>
      <c r="D2" s="37">
        <f>(SUM(D37:D54)/($N$54-$C$36))</f>
        <v>0.43333333333333335</v>
      </c>
      <c r="E2" s="37">
        <f t="shared" ref="E2:M2" si="0">(SUM(E37:E54)/($N$54-$C$36))</f>
        <v>0.56666666666666665</v>
      </c>
      <c r="F2" s="37">
        <f t="shared" si="0"/>
        <v>0.82222222222222219</v>
      </c>
      <c r="G2" s="37">
        <f t="shared" si="0"/>
        <v>0.17777777777777778</v>
      </c>
      <c r="H2" s="37">
        <f t="shared" si="0"/>
        <v>0.1111111111111111</v>
      </c>
      <c r="I2" s="37">
        <f t="shared" si="0"/>
        <v>0.61111111111111116</v>
      </c>
      <c r="J2" s="37">
        <f t="shared" si="0"/>
        <v>0.27777777777777779</v>
      </c>
      <c r="K2" s="37">
        <f t="shared" si="0"/>
        <v>2.2222222222222223E-2</v>
      </c>
      <c r="L2" s="37">
        <f t="shared" si="0"/>
        <v>0.17777777777777778</v>
      </c>
      <c r="M2" s="37">
        <f t="shared" si="0"/>
        <v>0</v>
      </c>
      <c r="N2" s="53"/>
      <c r="O2" s="53"/>
      <c r="P2" s="53"/>
      <c r="Q2" s="53"/>
    </row>
    <row r="3" spans="1:23" ht="15" thickBot="1" x14ac:dyDescent="0.4">
      <c r="A3" s="36"/>
      <c r="B3" s="36"/>
      <c r="C3" s="63" t="s">
        <v>67</v>
      </c>
      <c r="D3" s="38">
        <f>SUM(D37:D54)</f>
        <v>39</v>
      </c>
      <c r="E3" s="38">
        <f>SUM(E37:E54)</f>
        <v>51</v>
      </c>
      <c r="F3" s="38">
        <f>SUM(F37:F54)</f>
        <v>74</v>
      </c>
      <c r="G3" s="38">
        <f>SUM(G37:G54)</f>
        <v>16</v>
      </c>
      <c r="H3" s="38">
        <f t="shared" ref="H3:M3" si="1">SUM(H37:H54)</f>
        <v>10</v>
      </c>
      <c r="I3" s="38">
        <f t="shared" si="1"/>
        <v>55</v>
      </c>
      <c r="J3" s="38">
        <f t="shared" si="1"/>
        <v>25</v>
      </c>
      <c r="K3" s="38">
        <f t="shared" si="1"/>
        <v>2</v>
      </c>
      <c r="L3" s="38">
        <f t="shared" si="1"/>
        <v>16</v>
      </c>
      <c r="M3" s="38">
        <f t="shared" si="1"/>
        <v>0</v>
      </c>
      <c r="N3" s="53"/>
      <c r="O3" s="53"/>
      <c r="P3" s="53"/>
      <c r="Q3" s="53"/>
    </row>
    <row r="4" spans="1:23" x14ac:dyDescent="0.35">
      <c r="A4" s="39" t="s">
        <v>68</v>
      </c>
      <c r="B4" s="40" t="s">
        <v>73</v>
      </c>
      <c r="C4" s="39">
        <f>C9/($N$54-$C$36)</f>
        <v>0.23333333333333334</v>
      </c>
      <c r="D4" s="39">
        <f>D9/(D9+E9)</f>
        <v>0.2857142857142857</v>
      </c>
      <c r="E4" s="39">
        <f>E9/(D9+E9)</f>
        <v>0.7142857142857143</v>
      </c>
      <c r="F4" s="39">
        <f>F9/(F9+G9)</f>
        <v>0.76190476190476186</v>
      </c>
      <c r="G4" s="39">
        <f>G9/(F9+G9)</f>
        <v>0.23809523809523808</v>
      </c>
      <c r="H4" s="39">
        <f>H9/(H9+I9+J9)</f>
        <v>0</v>
      </c>
      <c r="I4" s="41">
        <f>I9/(H9+I9+J9)</f>
        <v>0</v>
      </c>
      <c r="J4" s="39">
        <f>J9/(H9+I9+J9)</f>
        <v>1</v>
      </c>
      <c r="K4" s="39">
        <f>K9/C9</f>
        <v>0</v>
      </c>
      <c r="L4" s="39">
        <f>L9/C9</f>
        <v>9.5238095238095233E-2</v>
      </c>
      <c r="M4" s="41"/>
      <c r="N4" s="53"/>
      <c r="O4" s="53"/>
      <c r="P4" s="53"/>
      <c r="Q4" s="53"/>
      <c r="S4" s="94" t="s">
        <v>122</v>
      </c>
      <c r="T4" s="95"/>
      <c r="U4" s="95"/>
      <c r="V4" s="95"/>
      <c r="W4" s="96"/>
    </row>
    <row r="5" spans="1:23" x14ac:dyDescent="0.35">
      <c r="A5" s="39"/>
      <c r="B5" s="40" t="s">
        <v>72</v>
      </c>
      <c r="C5" s="39">
        <f>C10/($N$54-$C$36)</f>
        <v>3.3333333333333333E-2</v>
      </c>
      <c r="D5" s="39">
        <f>D10/(D10+E10)</f>
        <v>1</v>
      </c>
      <c r="E5" s="39">
        <f>E10/(D10+E10)</f>
        <v>0</v>
      </c>
      <c r="F5" s="39">
        <f>F10/(F10+G10)</f>
        <v>1</v>
      </c>
      <c r="G5" s="39">
        <f>G10/(F10+G10)</f>
        <v>0</v>
      </c>
      <c r="H5" s="39">
        <f>H10/(H10+I10+J10)</f>
        <v>1</v>
      </c>
      <c r="I5" s="41">
        <f>I10/(H10+I10+J10)</f>
        <v>0</v>
      </c>
      <c r="J5" s="39">
        <f>J10/(H10+I10+J10)</f>
        <v>0</v>
      </c>
      <c r="K5" s="39">
        <f>K10/C10</f>
        <v>0</v>
      </c>
      <c r="L5" s="39">
        <f>L10/C10</f>
        <v>0</v>
      </c>
      <c r="M5" s="41"/>
      <c r="N5" s="53"/>
      <c r="O5" s="53"/>
      <c r="P5" s="53"/>
      <c r="Q5" s="53"/>
      <c r="S5" s="1" t="s">
        <v>70</v>
      </c>
      <c r="T5" s="1" t="s">
        <v>76</v>
      </c>
      <c r="U5" s="1" t="s">
        <v>77</v>
      </c>
      <c r="V5" s="1" t="s">
        <v>71</v>
      </c>
      <c r="W5" s="1" t="s">
        <v>78</v>
      </c>
    </row>
    <row r="6" spans="1:23" x14ac:dyDescent="0.35">
      <c r="A6" s="39"/>
      <c r="B6" s="40" t="s">
        <v>18</v>
      </c>
      <c r="C6" s="39">
        <f t="shared" ref="C6:C8" si="2">C11/($N$54-$C$36)</f>
        <v>0.22222222222222221</v>
      </c>
      <c r="D6" s="39">
        <f t="shared" ref="D6:D8" si="3">D11/(D11+E11)</f>
        <v>0.7</v>
      </c>
      <c r="E6" s="39">
        <f t="shared" ref="E6:E8" si="4">E11/(D11+E11)</f>
        <v>0.3</v>
      </c>
      <c r="F6" s="39">
        <f t="shared" ref="F6:F8" si="5">F11/(F11+G11)</f>
        <v>1</v>
      </c>
      <c r="G6" s="39">
        <f t="shared" ref="G6:G8" si="6">G11/(F11+G11)</f>
        <v>0</v>
      </c>
      <c r="H6" s="39">
        <f t="shared" ref="H6:H8" si="7">H11/(H11+I11+J11)</f>
        <v>0</v>
      </c>
      <c r="I6" s="39">
        <f t="shared" ref="I6:I8" si="8">I11/(H11+I11+J11)</f>
        <v>0.95</v>
      </c>
      <c r="J6" s="39">
        <f t="shared" ref="J6:J8" si="9">J11/(H11+I11+J11)</f>
        <v>0.05</v>
      </c>
      <c r="K6" s="39">
        <f t="shared" ref="K6:K8" si="10">K11/C11</f>
        <v>0.05</v>
      </c>
      <c r="L6" s="39">
        <f t="shared" ref="L6:L8" si="11">L11/C11</f>
        <v>0.5</v>
      </c>
      <c r="M6" s="41"/>
      <c r="N6" s="53"/>
      <c r="O6" s="53"/>
      <c r="P6" s="53"/>
      <c r="Q6" s="53"/>
    </row>
    <row r="7" spans="1:23" x14ac:dyDescent="0.35">
      <c r="A7" s="40"/>
      <c r="B7" s="40" t="s">
        <v>75</v>
      </c>
      <c r="C7" s="39">
        <f t="shared" si="2"/>
        <v>0.43333333333333335</v>
      </c>
      <c r="D7" s="39">
        <f t="shared" si="3"/>
        <v>0.35897435897435898</v>
      </c>
      <c r="E7" s="39">
        <f t="shared" si="4"/>
        <v>0.64102564102564108</v>
      </c>
      <c r="F7" s="39">
        <f t="shared" si="5"/>
        <v>0.76923076923076927</v>
      </c>
      <c r="G7" s="39">
        <f t="shared" si="6"/>
        <v>0.23076923076923078</v>
      </c>
      <c r="H7" s="39">
        <f t="shared" si="7"/>
        <v>0</v>
      </c>
      <c r="I7" s="39">
        <f t="shared" si="8"/>
        <v>0.92307692307692313</v>
      </c>
      <c r="J7" s="39">
        <f t="shared" si="9"/>
        <v>7.6923076923076927E-2</v>
      </c>
      <c r="K7" s="39">
        <f t="shared" si="10"/>
        <v>2.564102564102564E-2</v>
      </c>
      <c r="L7" s="39">
        <f t="shared" si="11"/>
        <v>0.10256410256410256</v>
      </c>
      <c r="M7" s="41"/>
      <c r="N7" s="53"/>
      <c r="O7" s="53"/>
      <c r="P7" s="53"/>
      <c r="Q7" s="53"/>
    </row>
    <row r="8" spans="1:23" x14ac:dyDescent="0.35">
      <c r="A8" s="40"/>
      <c r="B8" s="40" t="s">
        <v>74</v>
      </c>
      <c r="C8" s="39">
        <f t="shared" si="2"/>
        <v>7.7777777777777779E-2</v>
      </c>
      <c r="D8" s="39">
        <f t="shared" si="3"/>
        <v>0.2857142857142857</v>
      </c>
      <c r="E8" s="39">
        <f t="shared" si="4"/>
        <v>0.7142857142857143</v>
      </c>
      <c r="F8" s="39">
        <f t="shared" si="5"/>
        <v>0.7142857142857143</v>
      </c>
      <c r="G8" s="39">
        <f t="shared" si="6"/>
        <v>0.2857142857142857</v>
      </c>
      <c r="H8" s="39">
        <f t="shared" si="7"/>
        <v>1</v>
      </c>
      <c r="I8" s="39">
        <f t="shared" si="8"/>
        <v>0</v>
      </c>
      <c r="J8" s="39">
        <f t="shared" si="9"/>
        <v>0</v>
      </c>
      <c r="K8" s="39">
        <f t="shared" si="10"/>
        <v>0</v>
      </c>
      <c r="L8" s="39">
        <f t="shared" si="11"/>
        <v>0</v>
      </c>
      <c r="M8" s="41"/>
      <c r="N8" s="53"/>
      <c r="O8" s="53"/>
      <c r="P8" s="53"/>
      <c r="Q8" s="53"/>
    </row>
    <row r="9" spans="1:23" x14ac:dyDescent="0.35">
      <c r="A9" s="42" t="s">
        <v>67</v>
      </c>
      <c r="B9" s="43" t="s">
        <v>11</v>
      </c>
      <c r="C9" s="44">
        <f>D9+E9</f>
        <v>21</v>
      </c>
      <c r="D9" s="45">
        <f>D16+D20+D24+D29</f>
        <v>6</v>
      </c>
      <c r="E9" s="45">
        <f t="shared" ref="E9:M9" si="12">E16+E20+E24+E29</f>
        <v>15</v>
      </c>
      <c r="F9" s="45">
        <f t="shared" si="12"/>
        <v>16</v>
      </c>
      <c r="G9" s="45">
        <f t="shared" si="12"/>
        <v>5</v>
      </c>
      <c r="H9" s="45">
        <f t="shared" si="12"/>
        <v>0</v>
      </c>
      <c r="I9" s="45">
        <f t="shared" si="12"/>
        <v>0</v>
      </c>
      <c r="J9" s="45">
        <f t="shared" si="12"/>
        <v>21</v>
      </c>
      <c r="K9" s="45">
        <f t="shared" si="12"/>
        <v>0</v>
      </c>
      <c r="L9" s="45">
        <f t="shared" si="12"/>
        <v>2</v>
      </c>
      <c r="M9" s="45">
        <f t="shared" si="12"/>
        <v>0</v>
      </c>
      <c r="N9" s="53"/>
      <c r="O9" s="53"/>
      <c r="P9" s="53"/>
      <c r="Q9" s="53"/>
    </row>
    <row r="10" spans="1:23" x14ac:dyDescent="0.35">
      <c r="A10" s="42"/>
      <c r="B10" s="43" t="s">
        <v>69</v>
      </c>
      <c r="C10" s="44">
        <f t="shared" ref="C10:C13" si="13">D10+E10</f>
        <v>3</v>
      </c>
      <c r="D10" s="45">
        <f>D17+D21+D25+D30</f>
        <v>3</v>
      </c>
      <c r="E10" s="45">
        <f t="shared" ref="E10:M10" si="14">E17+E21+E25+E30</f>
        <v>0</v>
      </c>
      <c r="F10" s="45">
        <f t="shared" si="14"/>
        <v>3</v>
      </c>
      <c r="G10" s="45">
        <f t="shared" si="14"/>
        <v>0</v>
      </c>
      <c r="H10" s="45">
        <f t="shared" si="14"/>
        <v>3</v>
      </c>
      <c r="I10" s="45">
        <f t="shared" si="14"/>
        <v>0</v>
      </c>
      <c r="J10" s="45">
        <f t="shared" si="14"/>
        <v>0</v>
      </c>
      <c r="K10" s="45">
        <f t="shared" si="14"/>
        <v>0</v>
      </c>
      <c r="L10" s="45">
        <f t="shared" si="14"/>
        <v>0</v>
      </c>
      <c r="M10" s="45">
        <f t="shared" si="14"/>
        <v>0</v>
      </c>
      <c r="N10" s="53"/>
      <c r="O10" s="53"/>
      <c r="P10" s="53"/>
      <c r="Q10" s="53"/>
    </row>
    <row r="11" spans="1:23" x14ac:dyDescent="0.35">
      <c r="A11" s="42"/>
      <c r="B11" s="43" t="s">
        <v>18</v>
      </c>
      <c r="C11" s="44">
        <f t="shared" si="13"/>
        <v>20</v>
      </c>
      <c r="D11" s="45">
        <f t="shared" ref="D11:M11" si="15">D18+D22+D26+D31</f>
        <v>14</v>
      </c>
      <c r="E11" s="45">
        <f t="shared" si="15"/>
        <v>6</v>
      </c>
      <c r="F11" s="45">
        <f t="shared" si="15"/>
        <v>20</v>
      </c>
      <c r="G11" s="45">
        <f t="shared" si="15"/>
        <v>0</v>
      </c>
      <c r="H11" s="45">
        <f t="shared" si="15"/>
        <v>0</v>
      </c>
      <c r="I11" s="45">
        <f t="shared" si="15"/>
        <v>19</v>
      </c>
      <c r="J11" s="45">
        <f t="shared" si="15"/>
        <v>1</v>
      </c>
      <c r="K11" s="45">
        <f t="shared" si="15"/>
        <v>1</v>
      </c>
      <c r="L11" s="45">
        <f t="shared" si="15"/>
        <v>10</v>
      </c>
      <c r="M11" s="45">
        <f t="shared" si="15"/>
        <v>0</v>
      </c>
      <c r="N11" s="53"/>
      <c r="O11" s="53"/>
      <c r="P11" s="53"/>
      <c r="Q11" s="53"/>
    </row>
    <row r="12" spans="1:23" x14ac:dyDescent="0.35">
      <c r="A12" s="43"/>
      <c r="B12" s="43" t="s">
        <v>13</v>
      </c>
      <c r="C12" s="44">
        <f t="shared" si="13"/>
        <v>39</v>
      </c>
      <c r="D12" s="45">
        <f t="shared" ref="D12:M12" si="16">D19+D23+D27+D32</f>
        <v>14</v>
      </c>
      <c r="E12" s="45">
        <f t="shared" si="16"/>
        <v>25</v>
      </c>
      <c r="F12" s="45">
        <f t="shared" si="16"/>
        <v>30</v>
      </c>
      <c r="G12" s="45">
        <f t="shared" si="16"/>
        <v>9</v>
      </c>
      <c r="H12" s="45">
        <f t="shared" si="16"/>
        <v>0</v>
      </c>
      <c r="I12" s="45">
        <f t="shared" si="16"/>
        <v>36</v>
      </c>
      <c r="J12" s="45">
        <f t="shared" si="16"/>
        <v>3</v>
      </c>
      <c r="K12" s="45">
        <f t="shared" si="16"/>
        <v>1</v>
      </c>
      <c r="L12" s="45">
        <f t="shared" si="16"/>
        <v>4</v>
      </c>
      <c r="M12" s="45">
        <f t="shared" si="16"/>
        <v>0</v>
      </c>
      <c r="N12" s="53"/>
      <c r="O12" s="53"/>
      <c r="P12" s="53"/>
      <c r="Q12" s="53"/>
    </row>
    <row r="13" spans="1:23" x14ac:dyDescent="0.35">
      <c r="A13" s="43"/>
      <c r="B13" s="43" t="s">
        <v>74</v>
      </c>
      <c r="C13" s="44">
        <f t="shared" si="13"/>
        <v>7</v>
      </c>
      <c r="D13" s="45">
        <f>D28+D33</f>
        <v>2</v>
      </c>
      <c r="E13" s="45">
        <f t="shared" ref="E13:M13" si="17">E28+E33</f>
        <v>5</v>
      </c>
      <c r="F13" s="45">
        <f t="shared" si="17"/>
        <v>5</v>
      </c>
      <c r="G13" s="45">
        <f t="shared" si="17"/>
        <v>2</v>
      </c>
      <c r="H13" s="45">
        <f t="shared" si="17"/>
        <v>7</v>
      </c>
      <c r="I13" s="45">
        <f t="shared" si="17"/>
        <v>0</v>
      </c>
      <c r="J13" s="45">
        <f t="shared" si="17"/>
        <v>0</v>
      </c>
      <c r="K13" s="45">
        <f t="shared" si="17"/>
        <v>0</v>
      </c>
      <c r="L13" s="45">
        <f t="shared" si="17"/>
        <v>0</v>
      </c>
      <c r="M13" s="45">
        <f t="shared" si="17"/>
        <v>0</v>
      </c>
      <c r="N13" s="53"/>
      <c r="O13" s="53"/>
      <c r="P13" s="53"/>
      <c r="Q13" s="53"/>
    </row>
    <row r="14" spans="1:23" x14ac:dyDescent="0.35">
      <c r="A14" s="13" t="s">
        <v>5</v>
      </c>
      <c r="B14" s="13"/>
      <c r="C14" s="50" t="s">
        <v>132</v>
      </c>
      <c r="D14" s="35" t="s">
        <v>3</v>
      </c>
      <c r="E14" s="35" t="s">
        <v>4</v>
      </c>
      <c r="F14" s="35" t="s">
        <v>10</v>
      </c>
      <c r="G14" s="35" t="s">
        <v>17</v>
      </c>
      <c r="H14" s="35" t="s">
        <v>19</v>
      </c>
      <c r="I14" s="35" t="s">
        <v>20</v>
      </c>
      <c r="J14" s="35" t="s">
        <v>21</v>
      </c>
      <c r="K14" s="35" t="s">
        <v>22</v>
      </c>
      <c r="L14" s="35" t="s">
        <v>23</v>
      </c>
      <c r="M14" s="35" t="s">
        <v>24</v>
      </c>
      <c r="N14" s="53"/>
      <c r="O14" s="53"/>
      <c r="P14" s="53"/>
      <c r="Q14" s="53"/>
    </row>
    <row r="15" spans="1:23" x14ac:dyDescent="0.35">
      <c r="A15" s="14">
        <f>C36/$N$54</f>
        <v>6.25E-2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53"/>
      <c r="O15" s="53"/>
      <c r="P15" s="53"/>
      <c r="Q15" s="53"/>
    </row>
    <row r="16" spans="1:23" x14ac:dyDescent="0.35">
      <c r="A16" s="43" t="s">
        <v>6</v>
      </c>
      <c r="B16" s="43" t="s">
        <v>11</v>
      </c>
      <c r="C16" s="43" t="s">
        <v>131</v>
      </c>
      <c r="D16" s="43">
        <f>D37</f>
        <v>0</v>
      </c>
      <c r="E16" s="43">
        <f t="shared" ref="E16:M16" si="18">E37</f>
        <v>1</v>
      </c>
      <c r="F16" s="43">
        <f t="shared" si="18"/>
        <v>0</v>
      </c>
      <c r="G16" s="43">
        <f t="shared" si="18"/>
        <v>1</v>
      </c>
      <c r="H16" s="43">
        <f t="shared" si="18"/>
        <v>0</v>
      </c>
      <c r="I16" s="43">
        <f t="shared" si="18"/>
        <v>0</v>
      </c>
      <c r="J16" s="43">
        <f t="shared" si="18"/>
        <v>1</v>
      </c>
      <c r="K16" s="43">
        <f t="shared" si="18"/>
        <v>0</v>
      </c>
      <c r="L16" s="43">
        <f t="shared" si="18"/>
        <v>1</v>
      </c>
      <c r="M16" s="43">
        <f t="shared" si="18"/>
        <v>0</v>
      </c>
      <c r="N16" s="53"/>
      <c r="O16" s="53"/>
      <c r="P16" s="53"/>
      <c r="Q16" s="53"/>
    </row>
    <row r="17" spans="1:17" x14ac:dyDescent="0.35">
      <c r="A17" s="42">
        <f>(D37+E37+D38+E38+D39+E39+D40+E40)/N54</f>
        <v>1.0416666666666666E-2</v>
      </c>
      <c r="B17" s="43" t="s">
        <v>72</v>
      </c>
      <c r="C17" s="43" t="s">
        <v>131</v>
      </c>
      <c r="D17" s="43">
        <f t="shared" ref="D17:M17" si="19">D38</f>
        <v>0</v>
      </c>
      <c r="E17" s="43">
        <f t="shared" si="19"/>
        <v>0</v>
      </c>
      <c r="F17" s="43">
        <f t="shared" si="19"/>
        <v>0</v>
      </c>
      <c r="G17" s="43">
        <f t="shared" si="19"/>
        <v>0</v>
      </c>
      <c r="H17" s="43">
        <f t="shared" si="19"/>
        <v>0</v>
      </c>
      <c r="I17" s="43">
        <f t="shared" si="19"/>
        <v>0</v>
      </c>
      <c r="J17" s="43">
        <f t="shared" si="19"/>
        <v>0</v>
      </c>
      <c r="K17" s="43">
        <f t="shared" si="19"/>
        <v>0</v>
      </c>
      <c r="L17" s="43">
        <f t="shared" si="19"/>
        <v>0</v>
      </c>
      <c r="M17" s="43">
        <f t="shared" si="19"/>
        <v>0</v>
      </c>
      <c r="N17" s="53"/>
      <c r="O17" s="53"/>
      <c r="P17" s="53"/>
      <c r="Q17" s="53"/>
    </row>
    <row r="18" spans="1:17" x14ac:dyDescent="0.35">
      <c r="A18" s="43"/>
      <c r="B18" s="43" t="s">
        <v>18</v>
      </c>
      <c r="C18" s="43" t="s">
        <v>131</v>
      </c>
      <c r="D18" s="43">
        <f t="shared" ref="D18:M18" si="20">D39</f>
        <v>0</v>
      </c>
      <c r="E18" s="43">
        <f t="shared" si="20"/>
        <v>0</v>
      </c>
      <c r="F18" s="43">
        <f t="shared" si="20"/>
        <v>0</v>
      </c>
      <c r="G18" s="43">
        <f t="shared" si="20"/>
        <v>0</v>
      </c>
      <c r="H18" s="43">
        <f t="shared" si="20"/>
        <v>0</v>
      </c>
      <c r="I18" s="43">
        <f t="shared" si="20"/>
        <v>0</v>
      </c>
      <c r="J18" s="43">
        <f t="shared" si="20"/>
        <v>0</v>
      </c>
      <c r="K18" s="43">
        <f t="shared" si="20"/>
        <v>0</v>
      </c>
      <c r="L18" s="43">
        <f t="shared" si="20"/>
        <v>0</v>
      </c>
      <c r="M18" s="43">
        <f t="shared" si="20"/>
        <v>0</v>
      </c>
      <c r="N18" s="53"/>
      <c r="O18" s="53"/>
      <c r="P18" s="53"/>
      <c r="Q18" s="53"/>
    </row>
    <row r="19" spans="1:17" x14ac:dyDescent="0.35">
      <c r="A19" s="43"/>
      <c r="B19" s="43" t="s">
        <v>13</v>
      </c>
      <c r="C19" s="43" t="s">
        <v>131</v>
      </c>
      <c r="D19" s="43">
        <f t="shared" ref="D19:M19" si="21">D40</f>
        <v>0</v>
      </c>
      <c r="E19" s="43">
        <f t="shared" si="21"/>
        <v>0</v>
      </c>
      <c r="F19" s="43">
        <f t="shared" si="21"/>
        <v>0</v>
      </c>
      <c r="G19" s="43">
        <f t="shared" si="21"/>
        <v>0</v>
      </c>
      <c r="H19" s="43">
        <f t="shared" si="21"/>
        <v>0</v>
      </c>
      <c r="I19" s="43">
        <f t="shared" si="21"/>
        <v>0</v>
      </c>
      <c r="J19" s="43">
        <f t="shared" si="21"/>
        <v>0</v>
      </c>
      <c r="K19" s="43">
        <f t="shared" si="21"/>
        <v>0</v>
      </c>
      <c r="L19" s="43">
        <f t="shared" si="21"/>
        <v>0</v>
      </c>
      <c r="M19" s="43">
        <f t="shared" si="21"/>
        <v>0</v>
      </c>
      <c r="N19" s="53"/>
      <c r="O19" s="53"/>
      <c r="P19" s="53"/>
      <c r="Q19" s="53"/>
    </row>
    <row r="20" spans="1:17" x14ac:dyDescent="0.35">
      <c r="A20" s="46" t="s">
        <v>7</v>
      </c>
      <c r="B20" s="46" t="s">
        <v>11</v>
      </c>
      <c r="C20" s="46" t="s">
        <v>131</v>
      </c>
      <c r="D20" s="46">
        <f t="shared" ref="D20:M20" si="22">D41</f>
        <v>0</v>
      </c>
      <c r="E20" s="46">
        <f t="shared" si="22"/>
        <v>2</v>
      </c>
      <c r="F20" s="46">
        <f t="shared" si="22"/>
        <v>2</v>
      </c>
      <c r="G20" s="46">
        <f t="shared" si="22"/>
        <v>0</v>
      </c>
      <c r="H20" s="46">
        <f t="shared" si="22"/>
        <v>0</v>
      </c>
      <c r="I20" s="46">
        <f t="shared" si="22"/>
        <v>0</v>
      </c>
      <c r="J20" s="46">
        <f t="shared" si="22"/>
        <v>2</v>
      </c>
      <c r="K20" s="46">
        <f t="shared" si="22"/>
        <v>0</v>
      </c>
      <c r="L20" s="46">
        <f t="shared" si="22"/>
        <v>0</v>
      </c>
      <c r="M20" s="46">
        <f t="shared" si="22"/>
        <v>0</v>
      </c>
      <c r="N20" s="53"/>
      <c r="O20" s="53"/>
      <c r="P20" s="53"/>
      <c r="Q20" s="53"/>
    </row>
    <row r="21" spans="1:17" x14ac:dyDescent="0.35">
      <c r="A21" s="47">
        <f>(D41+E41+D42+E42+D43+E43+D44+E44)/N54</f>
        <v>5.2083333333333336E-2</v>
      </c>
      <c r="B21" s="46" t="s">
        <v>72</v>
      </c>
      <c r="C21" s="46" t="s">
        <v>131</v>
      </c>
      <c r="D21" s="46">
        <f t="shared" ref="D21:M21" si="23">D42</f>
        <v>1</v>
      </c>
      <c r="E21" s="46">
        <f t="shared" si="23"/>
        <v>0</v>
      </c>
      <c r="F21" s="46">
        <f t="shared" si="23"/>
        <v>1</v>
      </c>
      <c r="G21" s="46">
        <f t="shared" si="23"/>
        <v>0</v>
      </c>
      <c r="H21" s="46">
        <f t="shared" si="23"/>
        <v>1</v>
      </c>
      <c r="I21" s="46">
        <f t="shared" si="23"/>
        <v>0</v>
      </c>
      <c r="J21" s="46">
        <f t="shared" si="23"/>
        <v>0</v>
      </c>
      <c r="K21" s="46">
        <f t="shared" si="23"/>
        <v>0</v>
      </c>
      <c r="L21" s="46">
        <f t="shared" si="23"/>
        <v>0</v>
      </c>
      <c r="M21" s="46">
        <f t="shared" si="23"/>
        <v>0</v>
      </c>
      <c r="N21" s="53"/>
      <c r="O21" s="53"/>
      <c r="P21" s="53"/>
      <c r="Q21" s="53"/>
    </row>
    <row r="22" spans="1:17" x14ac:dyDescent="0.35">
      <c r="A22" s="46"/>
      <c r="B22" s="46" t="s">
        <v>18</v>
      </c>
      <c r="C22" s="46" t="s">
        <v>131</v>
      </c>
      <c r="D22" s="46">
        <f t="shared" ref="D22:M22" si="24">D43</f>
        <v>0</v>
      </c>
      <c r="E22" s="46">
        <f t="shared" si="24"/>
        <v>0</v>
      </c>
      <c r="F22" s="46">
        <f t="shared" si="24"/>
        <v>0</v>
      </c>
      <c r="G22" s="46">
        <f t="shared" si="24"/>
        <v>0</v>
      </c>
      <c r="H22" s="46">
        <f t="shared" si="24"/>
        <v>0</v>
      </c>
      <c r="I22" s="46">
        <f t="shared" si="24"/>
        <v>0</v>
      </c>
      <c r="J22" s="46">
        <f t="shared" si="24"/>
        <v>0</v>
      </c>
      <c r="K22" s="46">
        <f t="shared" si="24"/>
        <v>0</v>
      </c>
      <c r="L22" s="46">
        <f t="shared" si="24"/>
        <v>0</v>
      </c>
      <c r="M22" s="46">
        <f t="shared" si="24"/>
        <v>0</v>
      </c>
      <c r="N22" s="53"/>
      <c r="O22" s="53"/>
      <c r="P22" s="53"/>
      <c r="Q22" s="53"/>
    </row>
    <row r="23" spans="1:17" x14ac:dyDescent="0.35">
      <c r="A23" s="46"/>
      <c r="B23" s="46" t="s">
        <v>13</v>
      </c>
      <c r="C23" s="46" t="s">
        <v>131</v>
      </c>
      <c r="D23" s="46">
        <f t="shared" ref="D23:M23" si="25">D44</f>
        <v>2</v>
      </c>
      <c r="E23" s="46">
        <f t="shared" si="25"/>
        <v>0</v>
      </c>
      <c r="F23" s="46">
        <f t="shared" si="25"/>
        <v>1</v>
      </c>
      <c r="G23" s="46">
        <f t="shared" si="25"/>
        <v>1</v>
      </c>
      <c r="H23" s="46">
        <f t="shared" si="25"/>
        <v>0</v>
      </c>
      <c r="I23" s="46">
        <f t="shared" si="25"/>
        <v>2</v>
      </c>
      <c r="J23" s="46">
        <f t="shared" si="25"/>
        <v>0</v>
      </c>
      <c r="K23" s="46">
        <f t="shared" si="25"/>
        <v>0</v>
      </c>
      <c r="L23" s="46">
        <f t="shared" si="25"/>
        <v>0</v>
      </c>
      <c r="M23" s="46">
        <f t="shared" si="25"/>
        <v>0</v>
      </c>
      <c r="N23" s="53"/>
      <c r="O23" s="53"/>
      <c r="P23" s="53"/>
      <c r="Q23" s="53"/>
    </row>
    <row r="24" spans="1:17" x14ac:dyDescent="0.35">
      <c r="A24" s="36" t="s">
        <v>8</v>
      </c>
      <c r="B24" s="36" t="s">
        <v>11</v>
      </c>
      <c r="C24" s="36" t="s">
        <v>131</v>
      </c>
      <c r="D24" s="36">
        <f t="shared" ref="D24:M24" si="26">D45</f>
        <v>6</v>
      </c>
      <c r="E24" s="36">
        <f t="shared" si="26"/>
        <v>11</v>
      </c>
      <c r="F24" s="36">
        <f t="shared" si="26"/>
        <v>13</v>
      </c>
      <c r="G24" s="36">
        <f t="shared" si="26"/>
        <v>4</v>
      </c>
      <c r="H24" s="36">
        <f t="shared" si="26"/>
        <v>0</v>
      </c>
      <c r="I24" s="36">
        <f t="shared" si="26"/>
        <v>0</v>
      </c>
      <c r="J24" s="36">
        <f t="shared" si="26"/>
        <v>17</v>
      </c>
      <c r="K24" s="36">
        <f t="shared" si="26"/>
        <v>0</v>
      </c>
      <c r="L24" s="36">
        <f t="shared" si="26"/>
        <v>1</v>
      </c>
      <c r="M24" s="36">
        <f t="shared" si="26"/>
        <v>0</v>
      </c>
      <c r="N24" s="53"/>
      <c r="O24" s="53"/>
      <c r="P24" s="53"/>
      <c r="Q24" s="53"/>
    </row>
    <row r="25" spans="1:17" x14ac:dyDescent="0.35">
      <c r="A25" s="37">
        <f>(D45+E45+D46+E46+D47+E47+D48+E48+D49+E49)/$N$54</f>
        <v>0.77083333333333337</v>
      </c>
      <c r="B25" s="36" t="s">
        <v>72</v>
      </c>
      <c r="C25" s="36" t="s">
        <v>131</v>
      </c>
      <c r="D25" s="36">
        <f t="shared" ref="D25:M25" si="27">D46</f>
        <v>2</v>
      </c>
      <c r="E25" s="36">
        <f t="shared" si="27"/>
        <v>0</v>
      </c>
      <c r="F25" s="36">
        <f t="shared" si="27"/>
        <v>2</v>
      </c>
      <c r="G25" s="36">
        <f t="shared" si="27"/>
        <v>0</v>
      </c>
      <c r="H25" s="36">
        <f t="shared" si="27"/>
        <v>2</v>
      </c>
      <c r="I25" s="36">
        <f t="shared" si="27"/>
        <v>0</v>
      </c>
      <c r="J25" s="36">
        <f t="shared" si="27"/>
        <v>0</v>
      </c>
      <c r="K25" s="36">
        <f t="shared" si="27"/>
        <v>0</v>
      </c>
      <c r="L25" s="36">
        <f t="shared" si="27"/>
        <v>0</v>
      </c>
      <c r="M25" s="36">
        <f t="shared" si="27"/>
        <v>0</v>
      </c>
      <c r="N25" s="53"/>
      <c r="O25" s="53"/>
      <c r="P25" s="53"/>
      <c r="Q25" s="53"/>
    </row>
    <row r="26" spans="1:17" x14ac:dyDescent="0.35">
      <c r="A26" s="36"/>
      <c r="B26" s="36" t="s">
        <v>18</v>
      </c>
      <c r="C26" s="36" t="s">
        <v>131</v>
      </c>
      <c r="D26" s="36">
        <f t="shared" ref="D26:M26" si="28">D47</f>
        <v>11</v>
      </c>
      <c r="E26" s="36">
        <f t="shared" si="28"/>
        <v>4</v>
      </c>
      <c r="F26" s="36">
        <f t="shared" si="28"/>
        <v>15</v>
      </c>
      <c r="G26" s="36">
        <f t="shared" si="28"/>
        <v>0</v>
      </c>
      <c r="H26" s="36">
        <f t="shared" si="28"/>
        <v>0</v>
      </c>
      <c r="I26" s="36">
        <f t="shared" si="28"/>
        <v>14</v>
      </c>
      <c r="J26" s="36">
        <f t="shared" si="28"/>
        <v>1</v>
      </c>
      <c r="K26" s="36">
        <f t="shared" si="28"/>
        <v>1</v>
      </c>
      <c r="L26" s="36">
        <f t="shared" si="28"/>
        <v>6</v>
      </c>
      <c r="M26" s="36">
        <f t="shared" si="28"/>
        <v>0</v>
      </c>
      <c r="N26" s="53"/>
      <c r="O26" s="53"/>
      <c r="P26" s="53"/>
      <c r="Q26" s="53"/>
    </row>
    <row r="27" spans="1:17" x14ac:dyDescent="0.35">
      <c r="A27" s="36"/>
      <c r="B27" s="36" t="s">
        <v>13</v>
      </c>
      <c r="C27" s="36" t="s">
        <v>131</v>
      </c>
      <c r="D27" s="36">
        <f t="shared" ref="D27:M27" si="29">D48</f>
        <v>11</v>
      </c>
      <c r="E27" s="36">
        <f t="shared" si="29"/>
        <v>22</v>
      </c>
      <c r="F27" s="36">
        <f t="shared" si="29"/>
        <v>25</v>
      </c>
      <c r="G27" s="36">
        <f t="shared" si="29"/>
        <v>8</v>
      </c>
      <c r="H27" s="36">
        <f t="shared" si="29"/>
        <v>0</v>
      </c>
      <c r="I27" s="36">
        <f t="shared" si="29"/>
        <v>30</v>
      </c>
      <c r="J27" s="36">
        <f t="shared" si="29"/>
        <v>3</v>
      </c>
      <c r="K27" s="36">
        <f t="shared" si="29"/>
        <v>1</v>
      </c>
      <c r="L27" s="36">
        <f t="shared" si="29"/>
        <v>4</v>
      </c>
      <c r="M27" s="36">
        <f t="shared" si="29"/>
        <v>0</v>
      </c>
      <c r="N27" s="53"/>
      <c r="O27" s="53"/>
      <c r="P27" s="53"/>
      <c r="Q27" s="53"/>
    </row>
    <row r="28" spans="1:17" x14ac:dyDescent="0.35">
      <c r="A28" s="36"/>
      <c r="B28" s="36" t="s">
        <v>74</v>
      </c>
      <c r="C28" s="36" t="s">
        <v>131</v>
      </c>
      <c r="D28" s="36">
        <f t="shared" ref="D28:M28" si="30">D49</f>
        <v>2</v>
      </c>
      <c r="E28" s="36">
        <f t="shared" si="30"/>
        <v>5</v>
      </c>
      <c r="F28" s="36">
        <f t="shared" si="30"/>
        <v>5</v>
      </c>
      <c r="G28" s="36">
        <f t="shared" si="30"/>
        <v>2</v>
      </c>
      <c r="H28" s="36">
        <f t="shared" si="30"/>
        <v>7</v>
      </c>
      <c r="I28" s="36">
        <f t="shared" si="30"/>
        <v>0</v>
      </c>
      <c r="J28" s="36">
        <f t="shared" si="30"/>
        <v>0</v>
      </c>
      <c r="K28" s="36">
        <f t="shared" si="30"/>
        <v>0</v>
      </c>
      <c r="L28" s="36">
        <f t="shared" si="30"/>
        <v>0</v>
      </c>
      <c r="M28" s="36">
        <f t="shared" si="30"/>
        <v>0</v>
      </c>
      <c r="N28" s="53"/>
      <c r="O28" s="53"/>
      <c r="P28" s="53"/>
      <c r="Q28" s="53"/>
    </row>
    <row r="29" spans="1:17" x14ac:dyDescent="0.35">
      <c r="A29" s="48" t="s">
        <v>9</v>
      </c>
      <c r="B29" s="48" t="s">
        <v>11</v>
      </c>
      <c r="C29" s="48" t="s">
        <v>131</v>
      </c>
      <c r="D29" s="48">
        <f t="shared" ref="D29:M29" si="31">D50</f>
        <v>0</v>
      </c>
      <c r="E29" s="48">
        <f t="shared" si="31"/>
        <v>1</v>
      </c>
      <c r="F29" s="48">
        <f t="shared" si="31"/>
        <v>1</v>
      </c>
      <c r="G29" s="48">
        <f t="shared" si="31"/>
        <v>0</v>
      </c>
      <c r="H29" s="48">
        <f t="shared" si="31"/>
        <v>0</v>
      </c>
      <c r="I29" s="48">
        <f t="shared" si="31"/>
        <v>0</v>
      </c>
      <c r="J29" s="48">
        <f t="shared" si="31"/>
        <v>1</v>
      </c>
      <c r="K29" s="48">
        <f t="shared" si="31"/>
        <v>0</v>
      </c>
      <c r="L29" s="48">
        <f t="shared" si="31"/>
        <v>0</v>
      </c>
      <c r="M29" s="48">
        <f t="shared" si="31"/>
        <v>0</v>
      </c>
      <c r="N29" s="53"/>
      <c r="O29" s="53"/>
      <c r="P29" s="53"/>
      <c r="Q29" s="53"/>
    </row>
    <row r="30" spans="1:17" x14ac:dyDescent="0.35">
      <c r="A30" s="49">
        <f>(D50+E50+D51+E51+D52+E52+D52+E52+D53+E53+D54+E54)/$N$54</f>
        <v>0.15625</v>
      </c>
      <c r="B30" s="48" t="s">
        <v>72</v>
      </c>
      <c r="C30" s="48" t="s">
        <v>131</v>
      </c>
      <c r="D30" s="48">
        <f t="shared" ref="D30:M30" si="32">D51</f>
        <v>0</v>
      </c>
      <c r="E30" s="48">
        <f t="shared" si="32"/>
        <v>0</v>
      </c>
      <c r="F30" s="48">
        <f t="shared" si="32"/>
        <v>0</v>
      </c>
      <c r="G30" s="48">
        <f t="shared" si="32"/>
        <v>0</v>
      </c>
      <c r="H30" s="48">
        <f t="shared" si="32"/>
        <v>0</v>
      </c>
      <c r="I30" s="48">
        <f t="shared" si="32"/>
        <v>0</v>
      </c>
      <c r="J30" s="48">
        <f t="shared" si="32"/>
        <v>0</v>
      </c>
      <c r="K30" s="48">
        <f t="shared" si="32"/>
        <v>0</v>
      </c>
      <c r="L30" s="48">
        <f t="shared" si="32"/>
        <v>0</v>
      </c>
      <c r="M30" s="48">
        <f t="shared" si="32"/>
        <v>0</v>
      </c>
      <c r="N30" s="53"/>
      <c r="O30" s="53"/>
      <c r="P30" s="53"/>
      <c r="Q30" s="53"/>
    </row>
    <row r="31" spans="1:17" x14ac:dyDescent="0.35">
      <c r="A31" s="48"/>
      <c r="B31" s="48" t="s">
        <v>18</v>
      </c>
      <c r="C31" s="48" t="s">
        <v>131</v>
      </c>
      <c r="D31" s="48">
        <f t="shared" ref="D31:M31" si="33">D52</f>
        <v>3</v>
      </c>
      <c r="E31" s="48">
        <f t="shared" si="33"/>
        <v>2</v>
      </c>
      <c r="F31" s="48">
        <f t="shared" si="33"/>
        <v>5</v>
      </c>
      <c r="G31" s="48">
        <f t="shared" si="33"/>
        <v>0</v>
      </c>
      <c r="H31" s="48">
        <f t="shared" si="33"/>
        <v>0</v>
      </c>
      <c r="I31" s="48">
        <f t="shared" si="33"/>
        <v>5</v>
      </c>
      <c r="J31" s="48">
        <f t="shared" si="33"/>
        <v>0</v>
      </c>
      <c r="K31" s="48">
        <f t="shared" si="33"/>
        <v>0</v>
      </c>
      <c r="L31" s="48">
        <f t="shared" si="33"/>
        <v>4</v>
      </c>
      <c r="M31" s="48">
        <f t="shared" si="33"/>
        <v>0</v>
      </c>
      <c r="N31" s="53"/>
      <c r="O31" s="53"/>
      <c r="P31" s="53"/>
      <c r="Q31" s="53"/>
    </row>
    <row r="32" spans="1:17" x14ac:dyDescent="0.35">
      <c r="A32" s="48"/>
      <c r="B32" s="48" t="s">
        <v>13</v>
      </c>
      <c r="C32" s="48" t="s">
        <v>131</v>
      </c>
      <c r="D32" s="48">
        <f t="shared" ref="D32:M32" si="34">D53</f>
        <v>1</v>
      </c>
      <c r="E32" s="48">
        <f t="shared" si="34"/>
        <v>3</v>
      </c>
      <c r="F32" s="48">
        <f t="shared" si="34"/>
        <v>4</v>
      </c>
      <c r="G32" s="48">
        <f t="shared" si="34"/>
        <v>0</v>
      </c>
      <c r="H32" s="48">
        <f t="shared" si="34"/>
        <v>0</v>
      </c>
      <c r="I32" s="48">
        <f t="shared" si="34"/>
        <v>4</v>
      </c>
      <c r="J32" s="48">
        <f t="shared" si="34"/>
        <v>0</v>
      </c>
      <c r="K32" s="48">
        <f t="shared" si="34"/>
        <v>0</v>
      </c>
      <c r="L32" s="48">
        <f t="shared" si="34"/>
        <v>0</v>
      </c>
      <c r="M32" s="48">
        <f t="shared" si="34"/>
        <v>0</v>
      </c>
      <c r="N32" s="53"/>
      <c r="O32" s="53"/>
      <c r="P32" s="53"/>
      <c r="Q32" s="53"/>
    </row>
    <row r="33" spans="1:31" ht="15" thickBot="1" x14ac:dyDescent="0.4">
      <c r="A33" s="48"/>
      <c r="B33" s="48" t="s">
        <v>74</v>
      </c>
      <c r="C33" s="48" t="s">
        <v>131</v>
      </c>
      <c r="D33" s="48">
        <f t="shared" ref="D33:M33" si="35">D54</f>
        <v>0</v>
      </c>
      <c r="E33" s="48">
        <f t="shared" si="35"/>
        <v>0</v>
      </c>
      <c r="F33" s="48">
        <f t="shared" si="35"/>
        <v>0</v>
      </c>
      <c r="G33" s="48">
        <f t="shared" si="35"/>
        <v>0</v>
      </c>
      <c r="H33" s="48">
        <f t="shared" si="35"/>
        <v>0</v>
      </c>
      <c r="I33" s="48">
        <f t="shared" si="35"/>
        <v>0</v>
      </c>
      <c r="J33" s="48">
        <f t="shared" si="35"/>
        <v>0</v>
      </c>
      <c r="K33" s="48">
        <f t="shared" si="35"/>
        <v>0</v>
      </c>
      <c r="L33" s="48">
        <f t="shared" si="35"/>
        <v>0</v>
      </c>
      <c r="M33" s="48">
        <f t="shared" si="35"/>
        <v>0</v>
      </c>
      <c r="N33" s="53"/>
      <c r="O33" s="53"/>
      <c r="P33" s="53"/>
      <c r="Q33" s="53"/>
    </row>
    <row r="34" spans="1:31" ht="15" thickBot="1" x14ac:dyDescent="0.4">
      <c r="R34" s="91" t="s">
        <v>121</v>
      </c>
      <c r="S34" s="92"/>
      <c r="T34" s="92"/>
      <c r="U34" s="92"/>
      <c r="V34" s="92"/>
      <c r="W34" s="92"/>
      <c r="X34" s="92"/>
      <c r="Y34" s="92"/>
      <c r="Z34" s="92"/>
      <c r="AA34" s="93"/>
      <c r="AB34" s="91" t="s">
        <v>58</v>
      </c>
      <c r="AC34" s="92"/>
      <c r="AD34" s="92"/>
      <c r="AE34" s="93"/>
    </row>
    <row r="35" spans="1:31" ht="67.5" customHeight="1" x14ac:dyDescent="0.35">
      <c r="A35" s="58" t="s">
        <v>135</v>
      </c>
      <c r="B35" s="1"/>
      <c r="C35" s="1"/>
      <c r="D35" s="1" t="s">
        <v>3</v>
      </c>
      <c r="E35" s="1" t="s">
        <v>4</v>
      </c>
      <c r="F35" s="1" t="s">
        <v>10</v>
      </c>
      <c r="G35" s="1" t="s">
        <v>17</v>
      </c>
      <c r="H35" s="1" t="s">
        <v>19</v>
      </c>
      <c r="I35" s="1" t="s">
        <v>20</v>
      </c>
      <c r="J35" s="1" t="s">
        <v>21</v>
      </c>
      <c r="K35" s="1" t="s">
        <v>22</v>
      </c>
      <c r="L35" s="1" t="s">
        <v>23</v>
      </c>
      <c r="M35" s="1" t="s">
        <v>24</v>
      </c>
      <c r="N35" s="56" t="s">
        <v>134</v>
      </c>
      <c r="O35" s="1"/>
      <c r="P35" s="55" t="s">
        <v>129</v>
      </c>
      <c r="Q35" s="59" t="s">
        <v>130</v>
      </c>
      <c r="R35" s="22"/>
      <c r="S35" s="23" t="s">
        <v>49</v>
      </c>
      <c r="T35" s="23" t="s">
        <v>51</v>
      </c>
      <c r="U35" s="23" t="s">
        <v>52</v>
      </c>
      <c r="V35" s="23" t="s">
        <v>53</v>
      </c>
      <c r="W35" s="23" t="s">
        <v>54</v>
      </c>
      <c r="X35" s="23" t="s">
        <v>55</v>
      </c>
      <c r="Y35" s="23" t="s">
        <v>56</v>
      </c>
      <c r="Z35" s="23" t="s">
        <v>57</v>
      </c>
      <c r="AA35" s="30" t="s">
        <v>58</v>
      </c>
      <c r="AB35" s="22" t="s">
        <v>128</v>
      </c>
      <c r="AC35" s="23" t="s">
        <v>123</v>
      </c>
      <c r="AD35" s="23" t="s">
        <v>124</v>
      </c>
      <c r="AE35" s="24" t="s">
        <v>125</v>
      </c>
    </row>
    <row r="36" spans="1:31" x14ac:dyDescent="0.35">
      <c r="A36" s="1" t="s">
        <v>5</v>
      </c>
      <c r="B36" s="1"/>
      <c r="C36" s="9">
        <f>(D57+E57+D78+E78+D99+D120+E120+D141+E141+D162+E162+D183+E183+D204+E204)</f>
        <v>6</v>
      </c>
      <c r="D36" s="9"/>
      <c r="E36" s="1"/>
      <c r="F36" s="1"/>
      <c r="G36" s="1"/>
      <c r="H36" s="1"/>
      <c r="I36" s="1"/>
      <c r="J36" s="1"/>
      <c r="K36" s="1"/>
      <c r="L36" s="1"/>
      <c r="M36" s="1"/>
      <c r="N36" s="57">
        <f>(N57+N78+N99+N120+N141+N162+N183+N204)</f>
        <v>39</v>
      </c>
      <c r="O36" s="1" t="s">
        <v>43</v>
      </c>
      <c r="P36" s="1">
        <f>(P57+P78+P99+P120+P141+P162+P183+P204)</f>
        <v>45</v>
      </c>
      <c r="Q36" s="31">
        <f>(Q57+Q78+Q99+Q120+Q141+Q162+Q183+Q204)</f>
        <v>48</v>
      </c>
      <c r="R36" s="25">
        <v>44641.354166666664</v>
      </c>
      <c r="S36" s="1" t="s">
        <v>50</v>
      </c>
      <c r="T36" s="1" t="s">
        <v>59</v>
      </c>
      <c r="U36" s="1" t="s">
        <v>59</v>
      </c>
      <c r="V36" s="1" t="s">
        <v>59</v>
      </c>
      <c r="W36" s="1" t="s">
        <v>59</v>
      </c>
      <c r="X36" s="1" t="s">
        <v>59</v>
      </c>
      <c r="Y36" s="1" t="s">
        <v>59</v>
      </c>
      <c r="Z36" s="1" t="s">
        <v>60</v>
      </c>
      <c r="AA36" s="31" t="s">
        <v>61</v>
      </c>
      <c r="AB36" s="60">
        <v>44641</v>
      </c>
      <c r="AC36" s="1">
        <v>7.556</v>
      </c>
      <c r="AD36" s="1">
        <v>0.8</v>
      </c>
      <c r="AE36" s="26">
        <v>0</v>
      </c>
    </row>
    <row r="37" spans="1:31" x14ac:dyDescent="0.35">
      <c r="A37" s="1" t="s">
        <v>6</v>
      </c>
      <c r="B37" s="1" t="s">
        <v>11</v>
      </c>
      <c r="C37" s="1"/>
      <c r="D37" s="1">
        <f>(D58+D79+D100+D121+D142+D163+D184+D205)</f>
        <v>0</v>
      </c>
      <c r="E37" s="1">
        <f t="shared" ref="E37:M37" si="36">(E58+E79+E100+E121+E142+E163+E184+E205)</f>
        <v>1</v>
      </c>
      <c r="F37" s="1">
        <f t="shared" si="36"/>
        <v>0</v>
      </c>
      <c r="G37" s="1">
        <f t="shared" si="36"/>
        <v>1</v>
      </c>
      <c r="H37" s="1">
        <f t="shared" si="36"/>
        <v>0</v>
      </c>
      <c r="I37" s="1">
        <f t="shared" si="36"/>
        <v>0</v>
      </c>
      <c r="J37" s="1">
        <f t="shared" si="36"/>
        <v>1</v>
      </c>
      <c r="K37" s="1">
        <f t="shared" si="36"/>
        <v>0</v>
      </c>
      <c r="L37" s="1">
        <f t="shared" si="36"/>
        <v>1</v>
      </c>
      <c r="M37" s="1">
        <f t="shared" si="36"/>
        <v>0</v>
      </c>
      <c r="N37" s="57">
        <f>MIN(N58,N79,N100,N121,N142,N163,N184,N205)</f>
        <v>2</v>
      </c>
      <c r="O37" s="1" t="s">
        <v>44</v>
      </c>
      <c r="P37" s="54">
        <f>P36/(P36+Q36)</f>
        <v>0.4838709677419355</v>
      </c>
      <c r="Q37" s="31"/>
      <c r="R37" s="25">
        <v>44641.479166666664</v>
      </c>
      <c r="S37" s="1" t="s">
        <v>50</v>
      </c>
      <c r="T37" s="1" t="s">
        <v>59</v>
      </c>
      <c r="U37" s="1" t="s">
        <v>59</v>
      </c>
      <c r="V37" s="1" t="s">
        <v>59</v>
      </c>
      <c r="W37" s="1" t="s">
        <v>59</v>
      </c>
      <c r="X37" s="1" t="s">
        <v>59</v>
      </c>
      <c r="Y37" s="1" t="s">
        <v>59</v>
      </c>
      <c r="Z37" s="1" t="s">
        <v>60</v>
      </c>
      <c r="AA37" s="31" t="s">
        <v>61</v>
      </c>
      <c r="AB37" s="60">
        <v>44643</v>
      </c>
      <c r="AC37" s="1">
        <v>11.27</v>
      </c>
      <c r="AD37" s="1">
        <v>1.3</v>
      </c>
      <c r="AE37" s="26">
        <v>0</v>
      </c>
    </row>
    <row r="38" spans="1:31" x14ac:dyDescent="0.35">
      <c r="A38" s="1"/>
      <c r="B38" s="1" t="s">
        <v>72</v>
      </c>
      <c r="C38" s="1"/>
      <c r="D38" s="1">
        <f t="shared" ref="D38:M38" si="37">(D59+D80+D101+D122+D143+D164+D185+D206)</f>
        <v>0</v>
      </c>
      <c r="E38" s="1">
        <f t="shared" si="37"/>
        <v>0</v>
      </c>
      <c r="F38" s="1">
        <f t="shared" si="37"/>
        <v>0</v>
      </c>
      <c r="G38" s="1">
        <f t="shared" si="37"/>
        <v>0</v>
      </c>
      <c r="H38" s="1">
        <f t="shared" si="37"/>
        <v>0</v>
      </c>
      <c r="I38" s="1">
        <f t="shared" si="37"/>
        <v>0</v>
      </c>
      <c r="J38" s="1">
        <f t="shared" si="37"/>
        <v>0</v>
      </c>
      <c r="K38" s="1">
        <f t="shared" si="37"/>
        <v>0</v>
      </c>
      <c r="L38" s="1">
        <f t="shared" si="37"/>
        <v>0</v>
      </c>
      <c r="M38" s="1">
        <f t="shared" si="37"/>
        <v>0</v>
      </c>
      <c r="N38" s="57">
        <f>MAX(N59,N80,N101,N122,N143,N164,N185,N206)</f>
        <v>5</v>
      </c>
      <c r="O38" s="1" t="s">
        <v>45</v>
      </c>
      <c r="P38" s="1"/>
      <c r="Q38" s="31"/>
      <c r="R38" s="25">
        <v>44641.604166666664</v>
      </c>
      <c r="S38" s="1" t="s">
        <v>50</v>
      </c>
      <c r="T38" s="1" t="s">
        <v>59</v>
      </c>
      <c r="U38" s="1" t="s">
        <v>59</v>
      </c>
      <c r="V38" s="1" t="s">
        <v>59</v>
      </c>
      <c r="W38" s="1" t="s">
        <v>59</v>
      </c>
      <c r="X38" s="1" t="s">
        <v>59</v>
      </c>
      <c r="Y38" s="1" t="s">
        <v>59</v>
      </c>
      <c r="Z38" s="1" t="s">
        <v>60</v>
      </c>
      <c r="AA38" s="31" t="s">
        <v>61</v>
      </c>
      <c r="AB38" s="61"/>
      <c r="AC38" s="1"/>
      <c r="AD38" s="1"/>
      <c r="AE38" s="26"/>
    </row>
    <row r="39" spans="1:31" x14ac:dyDescent="0.35">
      <c r="A39" s="1"/>
      <c r="B39" s="1" t="s">
        <v>18</v>
      </c>
      <c r="C39" s="1"/>
      <c r="D39" s="1">
        <f t="shared" ref="D39:M39" si="38">(D60+D81+D102+D123+D144+D165+D186+D207)</f>
        <v>0</v>
      </c>
      <c r="E39" s="1">
        <f t="shared" si="38"/>
        <v>0</v>
      </c>
      <c r="F39" s="1">
        <f t="shared" si="38"/>
        <v>0</v>
      </c>
      <c r="G39" s="1">
        <f t="shared" si="38"/>
        <v>0</v>
      </c>
      <c r="H39" s="1">
        <f t="shared" si="38"/>
        <v>0</v>
      </c>
      <c r="I39" s="1">
        <f t="shared" si="38"/>
        <v>0</v>
      </c>
      <c r="J39" s="1">
        <f t="shared" si="38"/>
        <v>0</v>
      </c>
      <c r="K39" s="1">
        <f t="shared" si="38"/>
        <v>0</v>
      </c>
      <c r="L39" s="1">
        <f t="shared" si="38"/>
        <v>0</v>
      </c>
      <c r="M39" s="1">
        <f t="shared" si="38"/>
        <v>0</v>
      </c>
      <c r="N39" s="57">
        <f>AVERAGE(N60,N81,N102,N123,N144,N165,N186,N207)</f>
        <v>2.52</v>
      </c>
      <c r="O39" s="1" t="s">
        <v>46</v>
      </c>
      <c r="P39" s="1"/>
      <c r="Q39" s="31"/>
      <c r="R39" s="25">
        <v>44641.729166666664</v>
      </c>
      <c r="S39" s="1" t="s">
        <v>50</v>
      </c>
      <c r="T39" s="1" t="s">
        <v>59</v>
      </c>
      <c r="U39" s="1" t="s">
        <v>59</v>
      </c>
      <c r="V39" s="1" t="s">
        <v>59</v>
      </c>
      <c r="W39" s="1" t="s">
        <v>59</v>
      </c>
      <c r="X39" s="1" t="s">
        <v>59</v>
      </c>
      <c r="Y39" s="1" t="s">
        <v>59</v>
      </c>
      <c r="Z39" s="1" t="s">
        <v>60</v>
      </c>
      <c r="AA39" s="31" t="s">
        <v>63</v>
      </c>
      <c r="AB39" s="61"/>
      <c r="AC39" s="1"/>
      <c r="AD39" s="1"/>
      <c r="AE39" s="26"/>
    </row>
    <row r="40" spans="1:31" x14ac:dyDescent="0.35">
      <c r="A40" s="1"/>
      <c r="B40" s="1" t="s">
        <v>13</v>
      </c>
      <c r="C40" s="1"/>
      <c r="D40" s="1">
        <f t="shared" ref="D40:M40" si="39">(D61+D82+D103+D124+D145+D166+D187+D208)</f>
        <v>0</v>
      </c>
      <c r="E40" s="1">
        <f t="shared" si="39"/>
        <v>0</v>
      </c>
      <c r="F40" s="1">
        <f t="shared" si="39"/>
        <v>0</v>
      </c>
      <c r="G40" s="1">
        <f t="shared" si="39"/>
        <v>0</v>
      </c>
      <c r="H40" s="1">
        <f t="shared" si="39"/>
        <v>0</v>
      </c>
      <c r="I40" s="1">
        <f t="shared" si="39"/>
        <v>0</v>
      </c>
      <c r="J40" s="1">
        <f t="shared" si="39"/>
        <v>0</v>
      </c>
      <c r="K40" s="1">
        <f t="shared" si="39"/>
        <v>0</v>
      </c>
      <c r="L40" s="1">
        <f t="shared" si="39"/>
        <v>0</v>
      </c>
      <c r="M40" s="1">
        <f t="shared" si="39"/>
        <v>0</v>
      </c>
      <c r="R40" s="25">
        <v>44643.354166666664</v>
      </c>
      <c r="S40" s="1" t="s">
        <v>50</v>
      </c>
      <c r="T40" s="1" t="s">
        <v>59</v>
      </c>
      <c r="U40" s="1" t="s">
        <v>59</v>
      </c>
      <c r="V40" s="1" t="s">
        <v>59</v>
      </c>
      <c r="W40" s="1" t="s">
        <v>59</v>
      </c>
      <c r="X40" s="1" t="s">
        <v>59</v>
      </c>
      <c r="Y40" s="1" t="s">
        <v>59</v>
      </c>
      <c r="Z40" s="1" t="s">
        <v>60</v>
      </c>
      <c r="AA40" s="31" t="s">
        <v>61</v>
      </c>
      <c r="AB40" s="61"/>
      <c r="AC40" s="1"/>
      <c r="AD40" s="1"/>
      <c r="AE40" s="26"/>
    </row>
    <row r="41" spans="1:31" x14ac:dyDescent="0.35">
      <c r="A41" s="1" t="s">
        <v>7</v>
      </c>
      <c r="B41" s="1" t="s">
        <v>11</v>
      </c>
      <c r="C41" s="1"/>
      <c r="D41" s="1">
        <f t="shared" ref="D41:M41" si="40">(D62+D83+D104+D125+D146+D167+D188+D209)</f>
        <v>0</v>
      </c>
      <c r="E41" s="1">
        <f t="shared" si="40"/>
        <v>2</v>
      </c>
      <c r="F41" s="1">
        <f t="shared" si="40"/>
        <v>2</v>
      </c>
      <c r="G41" s="1">
        <f t="shared" si="40"/>
        <v>0</v>
      </c>
      <c r="H41" s="1">
        <f t="shared" si="40"/>
        <v>0</v>
      </c>
      <c r="I41" s="1">
        <f t="shared" si="40"/>
        <v>0</v>
      </c>
      <c r="J41" s="1">
        <f t="shared" si="40"/>
        <v>2</v>
      </c>
      <c r="K41" s="1">
        <f t="shared" si="40"/>
        <v>0</v>
      </c>
      <c r="L41" s="1">
        <f t="shared" si="40"/>
        <v>0</v>
      </c>
      <c r="M41" s="1">
        <f t="shared" si="40"/>
        <v>0</v>
      </c>
      <c r="R41" s="25">
        <v>44643.479166666664</v>
      </c>
      <c r="S41" s="1" t="s">
        <v>50</v>
      </c>
      <c r="T41" s="1" t="s">
        <v>59</v>
      </c>
      <c r="U41" s="1" t="s">
        <v>59</v>
      </c>
      <c r="V41" s="1" t="s">
        <v>59</v>
      </c>
      <c r="W41" s="1" t="s">
        <v>59</v>
      </c>
      <c r="X41" s="1" t="s">
        <v>59</v>
      </c>
      <c r="Y41" s="1" t="s">
        <v>59</v>
      </c>
      <c r="Z41" s="1" t="s">
        <v>60</v>
      </c>
      <c r="AA41" s="31" t="s">
        <v>61</v>
      </c>
      <c r="AB41" s="61"/>
      <c r="AC41" s="1"/>
      <c r="AD41" s="1"/>
      <c r="AE41" s="26"/>
    </row>
    <row r="42" spans="1:31" x14ac:dyDescent="0.35">
      <c r="A42" s="1"/>
      <c r="B42" s="1" t="s">
        <v>69</v>
      </c>
      <c r="C42" s="1"/>
      <c r="D42" s="1">
        <f t="shared" ref="D42:M42" si="41">(D63+D84+D105+D126+D147+D168+D189+D210)</f>
        <v>1</v>
      </c>
      <c r="E42" s="1">
        <f t="shared" si="41"/>
        <v>0</v>
      </c>
      <c r="F42" s="1">
        <f t="shared" si="41"/>
        <v>1</v>
      </c>
      <c r="G42" s="1">
        <f t="shared" si="41"/>
        <v>0</v>
      </c>
      <c r="H42" s="1">
        <f t="shared" si="41"/>
        <v>1</v>
      </c>
      <c r="I42" s="1">
        <f t="shared" si="41"/>
        <v>0</v>
      </c>
      <c r="J42" s="1">
        <f t="shared" si="41"/>
        <v>0</v>
      </c>
      <c r="K42" s="1">
        <f t="shared" si="41"/>
        <v>0</v>
      </c>
      <c r="L42" s="1">
        <f t="shared" si="41"/>
        <v>0</v>
      </c>
      <c r="M42" s="1">
        <f t="shared" si="41"/>
        <v>0</v>
      </c>
      <c r="R42" s="25">
        <v>44643.604166666664</v>
      </c>
      <c r="S42" s="1" t="s">
        <v>50</v>
      </c>
      <c r="T42" s="1" t="s">
        <v>59</v>
      </c>
      <c r="U42" s="1" t="s">
        <v>59</v>
      </c>
      <c r="V42" s="1" t="s">
        <v>59</v>
      </c>
      <c r="W42" s="1" t="s">
        <v>59</v>
      </c>
      <c r="X42" s="1" t="s">
        <v>59</v>
      </c>
      <c r="Y42" s="1" t="s">
        <v>59</v>
      </c>
      <c r="Z42" s="1" t="s">
        <v>60</v>
      </c>
      <c r="AA42" s="31" t="s">
        <v>61</v>
      </c>
      <c r="AB42" s="61"/>
      <c r="AC42" s="1"/>
      <c r="AD42" s="1"/>
      <c r="AE42" s="26"/>
    </row>
    <row r="43" spans="1:31" ht="15" thickBot="1" x14ac:dyDescent="0.4">
      <c r="A43" s="1"/>
      <c r="B43" s="1" t="s">
        <v>18</v>
      </c>
      <c r="C43" s="1"/>
      <c r="D43" s="1">
        <f t="shared" ref="D43:M43" si="42">(D64+D85+D106+D127+D148+D169+D190+D211)</f>
        <v>0</v>
      </c>
      <c r="E43" s="1">
        <f t="shared" si="42"/>
        <v>0</v>
      </c>
      <c r="F43" s="1">
        <f t="shared" si="42"/>
        <v>0</v>
      </c>
      <c r="G43" s="1">
        <f t="shared" si="42"/>
        <v>0</v>
      </c>
      <c r="H43" s="1">
        <f t="shared" si="42"/>
        <v>0</v>
      </c>
      <c r="I43" s="1">
        <f t="shared" si="42"/>
        <v>0</v>
      </c>
      <c r="J43" s="1">
        <f t="shared" si="42"/>
        <v>0</v>
      </c>
      <c r="K43" s="1">
        <f t="shared" si="42"/>
        <v>0</v>
      </c>
      <c r="L43" s="1">
        <f t="shared" si="42"/>
        <v>0</v>
      </c>
      <c r="M43" s="1">
        <f t="shared" si="42"/>
        <v>0</v>
      </c>
      <c r="R43" s="27">
        <v>44643.729166666664</v>
      </c>
      <c r="S43" s="28" t="s">
        <v>50</v>
      </c>
      <c r="T43" s="28" t="s">
        <v>59</v>
      </c>
      <c r="U43" s="28" t="s">
        <v>59</v>
      </c>
      <c r="V43" s="28" t="s">
        <v>59</v>
      </c>
      <c r="W43" s="28" t="s">
        <v>59</v>
      </c>
      <c r="X43" s="28" t="s">
        <v>59</v>
      </c>
      <c r="Y43" s="28" t="s">
        <v>59</v>
      </c>
      <c r="Z43" s="28" t="s">
        <v>60</v>
      </c>
      <c r="AA43" s="33" t="s">
        <v>61</v>
      </c>
      <c r="AB43" s="61"/>
      <c r="AC43" s="1"/>
      <c r="AD43" s="1"/>
      <c r="AE43" s="26"/>
    </row>
    <row r="44" spans="1:31" x14ac:dyDescent="0.35">
      <c r="A44" s="1"/>
      <c r="B44" s="1" t="s">
        <v>13</v>
      </c>
      <c r="C44" s="1"/>
      <c r="D44" s="1">
        <f t="shared" ref="D44:M44" si="43">(D65+D86+D107+D128+D149+D170+D191+D212)</f>
        <v>2</v>
      </c>
      <c r="E44" s="1">
        <f t="shared" si="43"/>
        <v>0</v>
      </c>
      <c r="F44" s="1">
        <f t="shared" si="43"/>
        <v>1</v>
      </c>
      <c r="G44" s="1">
        <f t="shared" si="43"/>
        <v>1</v>
      </c>
      <c r="H44" s="1">
        <f t="shared" si="43"/>
        <v>0</v>
      </c>
      <c r="I44" s="1">
        <f t="shared" si="43"/>
        <v>2</v>
      </c>
      <c r="J44" s="1">
        <f t="shared" si="43"/>
        <v>0</v>
      </c>
      <c r="K44" s="1">
        <f t="shared" si="43"/>
        <v>0</v>
      </c>
      <c r="L44" s="1">
        <f t="shared" si="43"/>
        <v>0</v>
      </c>
      <c r="M44" s="1">
        <f t="shared" si="43"/>
        <v>0</v>
      </c>
      <c r="AB44" s="61" t="s">
        <v>126</v>
      </c>
      <c r="AC44" s="1">
        <f>AVERAGE(AC36:AC37)</f>
        <v>9.4130000000000003</v>
      </c>
      <c r="AD44" s="1">
        <f t="shared" ref="AD44:AE44" si="44">AVERAGE(AD36:AD37)</f>
        <v>1.05</v>
      </c>
      <c r="AE44" s="26">
        <f t="shared" si="44"/>
        <v>0</v>
      </c>
    </row>
    <row r="45" spans="1:31" ht="15" thickBot="1" x14ac:dyDescent="0.4">
      <c r="A45" s="1" t="s">
        <v>8</v>
      </c>
      <c r="B45" s="1" t="s">
        <v>11</v>
      </c>
      <c r="C45" s="1"/>
      <c r="D45" s="1">
        <f t="shared" ref="D45:M45" si="45">(D66+D87+D108+D129+D150+D171+D192+D213)</f>
        <v>6</v>
      </c>
      <c r="E45" s="1">
        <f t="shared" si="45"/>
        <v>11</v>
      </c>
      <c r="F45" s="1">
        <f t="shared" si="45"/>
        <v>13</v>
      </c>
      <c r="G45" s="1">
        <f t="shared" si="45"/>
        <v>4</v>
      </c>
      <c r="H45" s="1">
        <f t="shared" si="45"/>
        <v>0</v>
      </c>
      <c r="I45" s="1">
        <f t="shared" si="45"/>
        <v>0</v>
      </c>
      <c r="J45" s="1">
        <f t="shared" si="45"/>
        <v>17</v>
      </c>
      <c r="K45" s="1">
        <f t="shared" si="45"/>
        <v>0</v>
      </c>
      <c r="L45" s="1">
        <f t="shared" si="45"/>
        <v>1</v>
      </c>
      <c r="M45" s="1">
        <f t="shared" si="45"/>
        <v>0</v>
      </c>
      <c r="AB45" s="62" t="s">
        <v>127</v>
      </c>
      <c r="AC45" s="28">
        <f>STDEV(AC36:AC37)</f>
        <v>2.6261945853268363</v>
      </c>
      <c r="AD45" s="28">
        <f t="shared" ref="AD45:AE45" si="46">STDEV(AD36:AD37)</f>
        <v>0.35355339059327379</v>
      </c>
      <c r="AE45" s="29">
        <f t="shared" si="46"/>
        <v>0</v>
      </c>
    </row>
    <row r="46" spans="1:31" x14ac:dyDescent="0.35">
      <c r="A46" s="1"/>
      <c r="B46" s="1" t="s">
        <v>69</v>
      </c>
      <c r="C46" s="1"/>
      <c r="D46" s="1">
        <f t="shared" ref="D46:M46" si="47">(D67+D88+D109+D130+D151+D172+D193+D214)</f>
        <v>2</v>
      </c>
      <c r="E46" s="1">
        <f t="shared" si="47"/>
        <v>0</v>
      </c>
      <c r="F46" s="1">
        <f t="shared" si="47"/>
        <v>2</v>
      </c>
      <c r="G46" s="1">
        <f t="shared" si="47"/>
        <v>0</v>
      </c>
      <c r="H46" s="1">
        <f t="shared" si="47"/>
        <v>2</v>
      </c>
      <c r="I46" s="1">
        <f t="shared" si="47"/>
        <v>0</v>
      </c>
      <c r="J46" s="1">
        <f t="shared" si="47"/>
        <v>0</v>
      </c>
      <c r="K46" s="1">
        <f t="shared" si="47"/>
        <v>0</v>
      </c>
      <c r="L46" s="1">
        <f t="shared" si="47"/>
        <v>0</v>
      </c>
      <c r="M46" s="1">
        <f t="shared" si="47"/>
        <v>0</v>
      </c>
    </row>
    <row r="47" spans="1:31" x14ac:dyDescent="0.35">
      <c r="A47" s="1"/>
      <c r="B47" s="1" t="s">
        <v>18</v>
      </c>
      <c r="C47" s="1"/>
      <c r="D47" s="1">
        <f t="shared" ref="D47:M47" si="48">(D68+D89+D110+D131+D152+D173+D194+D215)</f>
        <v>11</v>
      </c>
      <c r="E47" s="1">
        <f t="shared" si="48"/>
        <v>4</v>
      </c>
      <c r="F47" s="1">
        <f t="shared" si="48"/>
        <v>15</v>
      </c>
      <c r="G47" s="1">
        <f t="shared" si="48"/>
        <v>0</v>
      </c>
      <c r="H47" s="1">
        <f t="shared" si="48"/>
        <v>0</v>
      </c>
      <c r="I47" s="1">
        <f t="shared" si="48"/>
        <v>14</v>
      </c>
      <c r="J47" s="1">
        <f t="shared" si="48"/>
        <v>1</v>
      </c>
      <c r="K47" s="1">
        <f t="shared" si="48"/>
        <v>1</v>
      </c>
      <c r="L47" s="1">
        <f t="shared" si="48"/>
        <v>6</v>
      </c>
      <c r="M47" s="1">
        <f t="shared" si="48"/>
        <v>0</v>
      </c>
    </row>
    <row r="48" spans="1:31" x14ac:dyDescent="0.35">
      <c r="A48" s="1"/>
      <c r="B48" s="1" t="s">
        <v>13</v>
      </c>
      <c r="C48" s="1"/>
      <c r="D48" s="1">
        <f t="shared" ref="D48:M48" si="49">(D69+D90+D111+D132+D153+D174+D195+D216)</f>
        <v>11</v>
      </c>
      <c r="E48" s="1">
        <f t="shared" si="49"/>
        <v>22</v>
      </c>
      <c r="F48" s="1">
        <f t="shared" si="49"/>
        <v>25</v>
      </c>
      <c r="G48" s="1">
        <f t="shared" si="49"/>
        <v>8</v>
      </c>
      <c r="H48" s="1">
        <f t="shared" si="49"/>
        <v>0</v>
      </c>
      <c r="I48" s="1">
        <f t="shared" si="49"/>
        <v>30</v>
      </c>
      <c r="J48" s="1">
        <f t="shared" si="49"/>
        <v>3</v>
      </c>
      <c r="K48" s="1">
        <f t="shared" si="49"/>
        <v>1</v>
      </c>
      <c r="L48" s="1">
        <f t="shared" si="49"/>
        <v>4</v>
      </c>
      <c r="M48" s="1">
        <f t="shared" si="49"/>
        <v>0</v>
      </c>
    </row>
    <row r="49" spans="1:17" x14ac:dyDescent="0.35">
      <c r="A49" s="1"/>
      <c r="B49" s="1" t="s">
        <v>74</v>
      </c>
      <c r="C49" s="1"/>
      <c r="D49" s="1">
        <f t="shared" ref="D49:M49" si="50">(D70+D91+D112+D133+D154+D175+D196+D217)</f>
        <v>2</v>
      </c>
      <c r="E49" s="1">
        <f t="shared" si="50"/>
        <v>5</v>
      </c>
      <c r="F49" s="1">
        <f t="shared" si="50"/>
        <v>5</v>
      </c>
      <c r="G49" s="1">
        <f t="shared" si="50"/>
        <v>2</v>
      </c>
      <c r="H49" s="1">
        <f t="shared" si="50"/>
        <v>7</v>
      </c>
      <c r="I49" s="1">
        <f t="shared" si="50"/>
        <v>0</v>
      </c>
      <c r="J49" s="1">
        <f t="shared" si="50"/>
        <v>0</v>
      </c>
      <c r="K49" s="1">
        <f t="shared" si="50"/>
        <v>0</v>
      </c>
      <c r="L49" s="1">
        <f t="shared" si="50"/>
        <v>0</v>
      </c>
      <c r="M49" s="1">
        <f t="shared" si="50"/>
        <v>0</v>
      </c>
    </row>
    <row r="50" spans="1:17" x14ac:dyDescent="0.35">
      <c r="A50" s="1" t="s">
        <v>9</v>
      </c>
      <c r="B50" s="1" t="s">
        <v>11</v>
      </c>
      <c r="C50" s="1"/>
      <c r="D50" s="1">
        <f t="shared" ref="D50:M50" si="51">(D71+D92+D113+D134+D155+D176+D197+D218)</f>
        <v>0</v>
      </c>
      <c r="E50" s="1">
        <f t="shared" si="51"/>
        <v>1</v>
      </c>
      <c r="F50" s="1">
        <f t="shared" si="51"/>
        <v>1</v>
      </c>
      <c r="G50" s="1">
        <f t="shared" si="51"/>
        <v>0</v>
      </c>
      <c r="H50" s="1">
        <f t="shared" si="51"/>
        <v>0</v>
      </c>
      <c r="I50" s="1">
        <f t="shared" si="51"/>
        <v>0</v>
      </c>
      <c r="J50" s="1">
        <f t="shared" si="51"/>
        <v>1</v>
      </c>
      <c r="K50" s="1">
        <f t="shared" si="51"/>
        <v>0</v>
      </c>
      <c r="L50" s="1">
        <f t="shared" si="51"/>
        <v>0</v>
      </c>
      <c r="M50" s="1">
        <f t="shared" si="51"/>
        <v>0</v>
      </c>
    </row>
    <row r="51" spans="1:17" x14ac:dyDescent="0.35">
      <c r="A51" s="1"/>
      <c r="B51" s="1" t="s">
        <v>72</v>
      </c>
      <c r="C51" s="1"/>
      <c r="D51" s="1">
        <f t="shared" ref="D51:M51" si="52">(D72+D93+D114+D135+D156+D177+D198+D219)</f>
        <v>0</v>
      </c>
      <c r="E51" s="1">
        <f t="shared" si="52"/>
        <v>0</v>
      </c>
      <c r="F51" s="1">
        <f t="shared" si="52"/>
        <v>0</v>
      </c>
      <c r="G51" s="1">
        <f t="shared" si="52"/>
        <v>0</v>
      </c>
      <c r="H51" s="1">
        <f t="shared" si="52"/>
        <v>0</v>
      </c>
      <c r="I51" s="1">
        <f t="shared" si="52"/>
        <v>0</v>
      </c>
      <c r="J51" s="1">
        <f t="shared" si="52"/>
        <v>0</v>
      </c>
      <c r="K51" s="1">
        <f t="shared" si="52"/>
        <v>0</v>
      </c>
      <c r="L51" s="1">
        <f t="shared" si="52"/>
        <v>0</v>
      </c>
      <c r="M51" s="1">
        <f t="shared" si="52"/>
        <v>0</v>
      </c>
    </row>
    <row r="52" spans="1:17" x14ac:dyDescent="0.35">
      <c r="A52" s="1"/>
      <c r="B52" s="1" t="s">
        <v>18</v>
      </c>
      <c r="C52" s="1"/>
      <c r="D52" s="1">
        <f t="shared" ref="D52:M52" si="53">(D73+D94+D115+D136+D157+D178+D199+D220)</f>
        <v>3</v>
      </c>
      <c r="E52" s="1">
        <f t="shared" si="53"/>
        <v>2</v>
      </c>
      <c r="F52" s="1">
        <f t="shared" si="53"/>
        <v>5</v>
      </c>
      <c r="G52" s="1">
        <f t="shared" si="53"/>
        <v>0</v>
      </c>
      <c r="H52" s="1">
        <f t="shared" si="53"/>
        <v>0</v>
      </c>
      <c r="I52" s="1">
        <f t="shared" si="53"/>
        <v>5</v>
      </c>
      <c r="J52" s="1">
        <f t="shared" si="53"/>
        <v>0</v>
      </c>
      <c r="K52" s="1">
        <f t="shared" si="53"/>
        <v>0</v>
      </c>
      <c r="L52" s="1">
        <f t="shared" si="53"/>
        <v>4</v>
      </c>
      <c r="M52" s="1">
        <f t="shared" si="53"/>
        <v>0</v>
      </c>
    </row>
    <row r="53" spans="1:17" x14ac:dyDescent="0.35">
      <c r="A53" s="1"/>
      <c r="B53" s="1" t="s">
        <v>13</v>
      </c>
      <c r="C53" s="1"/>
      <c r="D53" s="1">
        <f t="shared" ref="D53:M53" si="54">(D74+D95+D116+D137+D158+D179+D200+D221)</f>
        <v>1</v>
      </c>
      <c r="E53" s="1">
        <f t="shared" si="54"/>
        <v>3</v>
      </c>
      <c r="F53" s="1">
        <f t="shared" si="54"/>
        <v>4</v>
      </c>
      <c r="G53" s="1">
        <f t="shared" si="54"/>
        <v>0</v>
      </c>
      <c r="H53" s="1">
        <f t="shared" si="54"/>
        <v>0</v>
      </c>
      <c r="I53" s="1">
        <f t="shared" si="54"/>
        <v>4</v>
      </c>
      <c r="J53" s="1">
        <f t="shared" si="54"/>
        <v>0</v>
      </c>
      <c r="K53" s="1">
        <f t="shared" si="54"/>
        <v>0</v>
      </c>
      <c r="L53" s="1">
        <f t="shared" si="54"/>
        <v>0</v>
      </c>
      <c r="M53" s="1">
        <f t="shared" si="54"/>
        <v>0</v>
      </c>
      <c r="N53" s="12" t="s">
        <v>66</v>
      </c>
    </row>
    <row r="54" spans="1:17" x14ac:dyDescent="0.35">
      <c r="A54" s="1"/>
      <c r="B54" s="1" t="s">
        <v>74</v>
      </c>
      <c r="C54" s="1"/>
      <c r="D54" s="1">
        <f t="shared" ref="D54:M54" si="55">(D75+D96+D117+D138+D159+D180+D201+D222)</f>
        <v>0</v>
      </c>
      <c r="E54" s="1">
        <f t="shared" si="55"/>
        <v>0</v>
      </c>
      <c r="F54" s="1">
        <f t="shared" si="55"/>
        <v>0</v>
      </c>
      <c r="G54" s="1">
        <f t="shared" si="55"/>
        <v>0</v>
      </c>
      <c r="H54" s="1">
        <f t="shared" si="55"/>
        <v>0</v>
      </c>
      <c r="I54" s="1">
        <f t="shared" si="55"/>
        <v>0</v>
      </c>
      <c r="J54" s="1">
        <f t="shared" si="55"/>
        <v>0</v>
      </c>
      <c r="K54" s="1">
        <f t="shared" si="55"/>
        <v>0</v>
      </c>
      <c r="L54" s="1">
        <f t="shared" si="55"/>
        <v>0</v>
      </c>
      <c r="M54" s="1">
        <f t="shared" si="55"/>
        <v>0</v>
      </c>
      <c r="N54" s="12">
        <f>SUM(C36:E54)</f>
        <v>96</v>
      </c>
    </row>
    <row r="56" spans="1:17" x14ac:dyDescent="0.35">
      <c r="A56" s="18" t="s">
        <v>41</v>
      </c>
      <c r="B56" s="16" t="s">
        <v>16</v>
      </c>
      <c r="C56" s="16" t="s">
        <v>42</v>
      </c>
      <c r="D56" s="16" t="s">
        <v>3</v>
      </c>
      <c r="E56" s="16" t="s">
        <v>4</v>
      </c>
      <c r="F56" s="16" t="s">
        <v>10</v>
      </c>
      <c r="G56" s="16" t="s">
        <v>17</v>
      </c>
      <c r="H56" s="16" t="s">
        <v>19</v>
      </c>
      <c r="I56" s="16" t="s">
        <v>20</v>
      </c>
      <c r="J56" s="16" t="s">
        <v>21</v>
      </c>
      <c r="K56" s="16" t="s">
        <v>22</v>
      </c>
      <c r="L56" s="16" t="s">
        <v>23</v>
      </c>
      <c r="M56" s="16" t="s">
        <v>24</v>
      </c>
      <c r="N56" s="16" t="s">
        <v>15</v>
      </c>
      <c r="P56" s="16" t="s">
        <v>28</v>
      </c>
      <c r="Q56" s="16" t="s">
        <v>29</v>
      </c>
    </row>
    <row r="57" spans="1:17" x14ac:dyDescent="0.35">
      <c r="A57" s="16" t="s">
        <v>5</v>
      </c>
      <c r="D57" s="16">
        <v>0</v>
      </c>
      <c r="E57" s="16">
        <v>0</v>
      </c>
      <c r="N57" s="16">
        <v>0</v>
      </c>
      <c r="O57" s="16" t="s">
        <v>43</v>
      </c>
      <c r="P57" s="16">
        <v>7</v>
      </c>
      <c r="Q57" s="16">
        <v>4</v>
      </c>
    </row>
    <row r="58" spans="1:17" x14ac:dyDescent="0.35">
      <c r="A58" s="16" t="s">
        <v>6</v>
      </c>
      <c r="B58" s="16" t="s">
        <v>11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O58" s="16" t="s">
        <v>44</v>
      </c>
    </row>
    <row r="59" spans="1:17" x14ac:dyDescent="0.35">
      <c r="B59" s="16" t="s">
        <v>72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45</v>
      </c>
    </row>
    <row r="60" spans="1:17" x14ac:dyDescent="0.35">
      <c r="B60" s="16" t="s">
        <v>18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O60" s="16" t="s">
        <v>46</v>
      </c>
    </row>
    <row r="61" spans="1:17" x14ac:dyDescent="0.35">
      <c r="B61" s="16" t="s">
        <v>13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</row>
    <row r="62" spans="1:17" x14ac:dyDescent="0.35">
      <c r="A62" s="16" t="s">
        <v>7</v>
      </c>
      <c r="B62" s="16" t="s">
        <v>11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</row>
    <row r="63" spans="1:17" x14ac:dyDescent="0.35">
      <c r="B63" s="16" t="s">
        <v>72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</row>
    <row r="64" spans="1:17" x14ac:dyDescent="0.35">
      <c r="B64" s="16" t="s">
        <v>18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</row>
    <row r="65" spans="1:17" x14ac:dyDescent="0.35">
      <c r="B65" s="16" t="s">
        <v>13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</row>
    <row r="66" spans="1:17" x14ac:dyDescent="0.35">
      <c r="A66" s="16" t="s">
        <v>8</v>
      </c>
      <c r="B66" s="16" t="s">
        <v>11</v>
      </c>
      <c r="D66" s="16">
        <v>3</v>
      </c>
      <c r="E66" s="16">
        <v>0</v>
      </c>
      <c r="F66" s="16">
        <v>2</v>
      </c>
      <c r="G66" s="16">
        <v>1</v>
      </c>
      <c r="H66" s="16">
        <v>0</v>
      </c>
      <c r="I66" s="16">
        <v>0</v>
      </c>
      <c r="J66" s="16">
        <v>3</v>
      </c>
      <c r="K66" s="16">
        <v>0</v>
      </c>
      <c r="L66" s="16">
        <v>0</v>
      </c>
      <c r="M66" s="16">
        <v>0</v>
      </c>
    </row>
    <row r="67" spans="1:17" x14ac:dyDescent="0.35">
      <c r="B67" s="16" t="s">
        <v>72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</row>
    <row r="68" spans="1:17" x14ac:dyDescent="0.35">
      <c r="B68" s="16" t="s">
        <v>18</v>
      </c>
      <c r="D68" s="16">
        <v>1</v>
      </c>
      <c r="E68" s="16">
        <v>1</v>
      </c>
      <c r="F68" s="16">
        <v>2</v>
      </c>
      <c r="G68" s="16">
        <v>0</v>
      </c>
      <c r="H68" s="16">
        <v>0</v>
      </c>
      <c r="I68" s="16">
        <v>1</v>
      </c>
      <c r="J68" s="16">
        <v>1</v>
      </c>
      <c r="K68" s="16">
        <v>0</v>
      </c>
      <c r="L68" s="16">
        <v>0</v>
      </c>
      <c r="M68" s="16">
        <v>0</v>
      </c>
    </row>
    <row r="69" spans="1:17" x14ac:dyDescent="0.35">
      <c r="B69" s="16" t="s">
        <v>13</v>
      </c>
      <c r="D69" s="16">
        <v>1</v>
      </c>
      <c r="E69" s="16">
        <v>4</v>
      </c>
      <c r="F69" s="16">
        <v>4</v>
      </c>
      <c r="G69" s="16">
        <v>1</v>
      </c>
      <c r="H69" s="16">
        <v>0</v>
      </c>
      <c r="I69" s="16">
        <v>5</v>
      </c>
      <c r="J69" s="16">
        <v>0</v>
      </c>
      <c r="K69" s="16">
        <v>0</v>
      </c>
      <c r="L69" s="16">
        <v>0</v>
      </c>
      <c r="M69" s="16">
        <v>0</v>
      </c>
    </row>
    <row r="70" spans="1:17" x14ac:dyDescent="0.35">
      <c r="B70" s="16" t="s">
        <v>74</v>
      </c>
      <c r="D70" s="16">
        <v>0</v>
      </c>
      <c r="E70" s="16">
        <v>1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</row>
    <row r="71" spans="1:17" x14ac:dyDescent="0.35">
      <c r="A71" s="16" t="s">
        <v>9</v>
      </c>
      <c r="B71" s="16" t="s">
        <v>11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</row>
    <row r="72" spans="1:17" x14ac:dyDescent="0.35">
      <c r="B72" s="16" t="s">
        <v>72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</row>
    <row r="73" spans="1:17" x14ac:dyDescent="0.35">
      <c r="B73" s="16" t="s">
        <v>18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</row>
    <row r="74" spans="1:17" x14ac:dyDescent="0.35">
      <c r="B74" s="16" t="s">
        <v>13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</row>
    <row r="75" spans="1:17" x14ac:dyDescent="0.35">
      <c r="B75" s="16" t="s">
        <v>74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</row>
    <row r="77" spans="1:17" x14ac:dyDescent="0.35">
      <c r="A77" s="18" t="s">
        <v>41</v>
      </c>
      <c r="B77" s="19">
        <v>44641</v>
      </c>
      <c r="C77" s="16" t="s">
        <v>47</v>
      </c>
      <c r="D77" s="16" t="s">
        <v>3</v>
      </c>
      <c r="E77" s="16" t="s">
        <v>4</v>
      </c>
      <c r="F77" s="16" t="s">
        <v>10</v>
      </c>
      <c r="G77" s="16" t="s">
        <v>17</v>
      </c>
      <c r="H77" s="16" t="s">
        <v>19</v>
      </c>
      <c r="I77" s="16" t="s">
        <v>20</v>
      </c>
      <c r="J77" s="16" t="s">
        <v>21</v>
      </c>
      <c r="K77" s="16" t="s">
        <v>22</v>
      </c>
      <c r="L77" s="16" t="s">
        <v>23</v>
      </c>
      <c r="M77" s="16" t="s">
        <v>24</v>
      </c>
      <c r="N77" s="16" t="s">
        <v>15</v>
      </c>
      <c r="P77" s="16" t="s">
        <v>28</v>
      </c>
      <c r="Q77" s="16" t="s">
        <v>29</v>
      </c>
    </row>
    <row r="78" spans="1:17" x14ac:dyDescent="0.35">
      <c r="A78" s="16" t="s">
        <v>5</v>
      </c>
      <c r="D78" s="16">
        <v>1</v>
      </c>
      <c r="E78" s="16">
        <v>2</v>
      </c>
      <c r="N78" s="16">
        <v>13</v>
      </c>
      <c r="O78" s="16" t="s">
        <v>43</v>
      </c>
      <c r="P78" s="16">
        <v>4</v>
      </c>
      <c r="Q78" s="16">
        <v>13</v>
      </c>
    </row>
    <row r="79" spans="1:17" x14ac:dyDescent="0.35">
      <c r="A79" s="16" t="s">
        <v>6</v>
      </c>
      <c r="B79" s="16" t="s">
        <v>11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2</v>
      </c>
      <c r="O79" s="16" t="s">
        <v>44</v>
      </c>
    </row>
    <row r="80" spans="1:17" x14ac:dyDescent="0.35">
      <c r="B80" s="16" t="s">
        <v>72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4</v>
      </c>
      <c r="O80" s="16" t="s">
        <v>45</v>
      </c>
    </row>
    <row r="81" spans="1:15" x14ac:dyDescent="0.35">
      <c r="B81" s="16" t="s">
        <v>18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2.6</v>
      </c>
      <c r="O81" s="16" t="s">
        <v>46</v>
      </c>
    </row>
    <row r="82" spans="1:15" x14ac:dyDescent="0.35">
      <c r="B82" s="16" t="s">
        <v>13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</row>
    <row r="83" spans="1:15" x14ac:dyDescent="0.35">
      <c r="A83" s="16" t="s">
        <v>7</v>
      </c>
      <c r="B83" s="16" t="s">
        <v>11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</row>
    <row r="84" spans="1:15" x14ac:dyDescent="0.35">
      <c r="B84" s="16" t="s">
        <v>72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</row>
    <row r="85" spans="1:15" x14ac:dyDescent="0.35">
      <c r="B85" s="16" t="s">
        <v>18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</row>
    <row r="86" spans="1:15" x14ac:dyDescent="0.35">
      <c r="B86" s="16" t="s">
        <v>13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</row>
    <row r="87" spans="1:15" x14ac:dyDescent="0.35">
      <c r="A87" s="16" t="s">
        <v>8</v>
      </c>
      <c r="B87" s="16" t="s">
        <v>11</v>
      </c>
      <c r="D87" s="16">
        <v>0</v>
      </c>
      <c r="E87" s="16">
        <v>2</v>
      </c>
      <c r="F87" s="16">
        <v>0</v>
      </c>
      <c r="G87" s="16">
        <v>2</v>
      </c>
      <c r="H87" s="16">
        <v>0</v>
      </c>
      <c r="I87" s="16">
        <v>0</v>
      </c>
      <c r="J87" s="16">
        <v>2</v>
      </c>
      <c r="K87" s="16">
        <v>0</v>
      </c>
      <c r="L87" s="16">
        <v>0</v>
      </c>
      <c r="M87" s="16">
        <v>0</v>
      </c>
    </row>
    <row r="88" spans="1:15" x14ac:dyDescent="0.35">
      <c r="B88" s="16" t="s">
        <v>72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</row>
    <row r="89" spans="1:15" x14ac:dyDescent="0.35">
      <c r="B89" s="16" t="s">
        <v>18</v>
      </c>
      <c r="D89" s="16">
        <v>2</v>
      </c>
      <c r="E89" s="16">
        <v>2</v>
      </c>
      <c r="F89" s="16">
        <v>4</v>
      </c>
      <c r="G89" s="16">
        <v>0</v>
      </c>
      <c r="H89" s="16">
        <v>0</v>
      </c>
      <c r="I89" s="16">
        <v>4</v>
      </c>
      <c r="J89" s="16">
        <v>0</v>
      </c>
      <c r="K89" s="16">
        <v>0</v>
      </c>
      <c r="L89" s="16">
        <v>4</v>
      </c>
      <c r="M89" s="16">
        <v>0</v>
      </c>
    </row>
    <row r="90" spans="1:15" x14ac:dyDescent="0.35">
      <c r="B90" s="16" t="s">
        <v>13</v>
      </c>
      <c r="D90" s="16">
        <v>2</v>
      </c>
      <c r="E90" s="16">
        <v>2</v>
      </c>
      <c r="F90" s="16">
        <v>4</v>
      </c>
      <c r="G90" s="16">
        <v>0</v>
      </c>
      <c r="H90" s="16">
        <v>0</v>
      </c>
      <c r="I90" s="16">
        <v>4</v>
      </c>
      <c r="J90" s="16">
        <v>0</v>
      </c>
      <c r="K90" s="16">
        <v>0</v>
      </c>
      <c r="L90" s="16">
        <v>2</v>
      </c>
      <c r="M90" s="16">
        <v>0</v>
      </c>
    </row>
    <row r="91" spans="1:15" x14ac:dyDescent="0.35">
      <c r="B91" s="16" t="s">
        <v>74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</row>
    <row r="92" spans="1:15" x14ac:dyDescent="0.35">
      <c r="A92" s="16" t="s">
        <v>9</v>
      </c>
      <c r="B92" s="16" t="s">
        <v>11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</row>
    <row r="93" spans="1:15" x14ac:dyDescent="0.35">
      <c r="B93" s="16" t="s">
        <v>72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</row>
    <row r="94" spans="1:15" x14ac:dyDescent="0.35">
      <c r="B94" s="16" t="s">
        <v>18</v>
      </c>
      <c r="D94" s="16">
        <v>3</v>
      </c>
      <c r="E94" s="16">
        <v>1</v>
      </c>
      <c r="F94" s="16">
        <v>4</v>
      </c>
      <c r="G94" s="16">
        <v>0</v>
      </c>
      <c r="H94" s="16">
        <v>0</v>
      </c>
      <c r="I94" s="16">
        <v>4</v>
      </c>
      <c r="J94" s="16">
        <v>0</v>
      </c>
      <c r="K94" s="16">
        <v>0</v>
      </c>
      <c r="L94" s="16">
        <v>4</v>
      </c>
      <c r="M94" s="16">
        <v>0</v>
      </c>
    </row>
    <row r="95" spans="1:15" x14ac:dyDescent="0.35">
      <c r="B95" s="16" t="s">
        <v>13</v>
      </c>
      <c r="D95" s="16">
        <v>0</v>
      </c>
      <c r="E95" s="16">
        <v>2</v>
      </c>
      <c r="F95" s="16">
        <v>2</v>
      </c>
      <c r="G95" s="16">
        <v>0</v>
      </c>
      <c r="H95" s="16">
        <v>0</v>
      </c>
      <c r="I95" s="16">
        <v>2</v>
      </c>
      <c r="J95" s="16">
        <v>0</v>
      </c>
      <c r="K95" s="16">
        <v>0</v>
      </c>
      <c r="L95" s="16">
        <v>0</v>
      </c>
      <c r="M95" s="16">
        <v>0</v>
      </c>
    </row>
    <row r="96" spans="1:15" x14ac:dyDescent="0.35">
      <c r="B96" s="16" t="s">
        <v>74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</row>
    <row r="98" spans="1:17" x14ac:dyDescent="0.35">
      <c r="A98" s="18" t="s">
        <v>41</v>
      </c>
      <c r="B98" s="20">
        <v>44641</v>
      </c>
      <c r="C98" s="16" t="s">
        <v>48</v>
      </c>
      <c r="D98" s="16" t="s">
        <v>3</v>
      </c>
      <c r="E98" s="16" t="s">
        <v>4</v>
      </c>
      <c r="F98" s="16" t="s">
        <v>10</v>
      </c>
      <c r="G98" s="16" t="s">
        <v>17</v>
      </c>
      <c r="H98" s="16" t="s">
        <v>19</v>
      </c>
      <c r="I98" s="16" t="s">
        <v>20</v>
      </c>
      <c r="J98" s="16" t="s">
        <v>21</v>
      </c>
      <c r="K98" s="16" t="s">
        <v>22</v>
      </c>
      <c r="L98" s="16" t="s">
        <v>23</v>
      </c>
      <c r="M98" s="16" t="s">
        <v>24</v>
      </c>
      <c r="N98" s="16" t="s">
        <v>15</v>
      </c>
      <c r="P98" s="16" t="s">
        <v>28</v>
      </c>
      <c r="Q98" s="16" t="s">
        <v>29</v>
      </c>
    </row>
    <row r="99" spans="1:17" x14ac:dyDescent="0.35">
      <c r="A99" s="16" t="s">
        <v>5</v>
      </c>
      <c r="D99" s="16">
        <v>1</v>
      </c>
      <c r="E99" s="16">
        <v>0</v>
      </c>
      <c r="N99" s="16">
        <v>6</v>
      </c>
      <c r="O99" s="16" t="s">
        <v>43</v>
      </c>
      <c r="P99" s="16">
        <v>7</v>
      </c>
      <c r="Q99" s="16">
        <v>8</v>
      </c>
    </row>
    <row r="100" spans="1:17" x14ac:dyDescent="0.35">
      <c r="A100" s="16" t="s">
        <v>6</v>
      </c>
      <c r="B100" s="16" t="s">
        <v>11</v>
      </c>
      <c r="D100" s="16">
        <v>0</v>
      </c>
      <c r="E100" s="16">
        <v>1</v>
      </c>
      <c r="F100" s="16">
        <v>0</v>
      </c>
      <c r="G100" s="16">
        <v>1</v>
      </c>
      <c r="H100" s="16">
        <v>0</v>
      </c>
      <c r="I100" s="16">
        <v>0</v>
      </c>
      <c r="J100" s="16">
        <v>1</v>
      </c>
      <c r="K100" s="16">
        <v>0</v>
      </c>
      <c r="L100" s="16">
        <v>1</v>
      </c>
      <c r="M100" s="16">
        <v>0</v>
      </c>
      <c r="N100" s="16">
        <v>2</v>
      </c>
      <c r="O100" s="16" t="s">
        <v>44</v>
      </c>
    </row>
    <row r="101" spans="1:17" x14ac:dyDescent="0.35">
      <c r="B101" s="16" t="s">
        <v>72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2</v>
      </c>
      <c r="O101" s="16" t="s">
        <v>45</v>
      </c>
    </row>
    <row r="102" spans="1:17" x14ac:dyDescent="0.35">
      <c r="B102" s="16" t="s">
        <v>18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2</v>
      </c>
      <c r="O102" s="16" t="s">
        <v>46</v>
      </c>
    </row>
    <row r="103" spans="1:17" x14ac:dyDescent="0.35">
      <c r="B103" s="16" t="s">
        <v>13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</row>
    <row r="104" spans="1:17" x14ac:dyDescent="0.35">
      <c r="A104" s="16" t="s">
        <v>7</v>
      </c>
      <c r="B104" s="16" t="s">
        <v>11</v>
      </c>
      <c r="D104" s="16">
        <v>0</v>
      </c>
      <c r="E104" s="16">
        <v>1</v>
      </c>
      <c r="F104" s="16">
        <v>1</v>
      </c>
      <c r="G104" s="16">
        <v>0</v>
      </c>
      <c r="H104" s="16">
        <v>0</v>
      </c>
      <c r="I104" s="16">
        <v>0</v>
      </c>
      <c r="J104" s="16">
        <v>1</v>
      </c>
      <c r="K104" s="16">
        <v>0</v>
      </c>
      <c r="L104" s="16">
        <v>0</v>
      </c>
      <c r="M104" s="16">
        <v>0</v>
      </c>
    </row>
    <row r="105" spans="1:17" x14ac:dyDescent="0.35">
      <c r="B105" s="16" t="s">
        <v>72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</row>
    <row r="106" spans="1:17" x14ac:dyDescent="0.35">
      <c r="B106" s="16" t="s">
        <v>18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</row>
    <row r="107" spans="1:17" x14ac:dyDescent="0.35">
      <c r="B107" s="16" t="s">
        <v>13</v>
      </c>
      <c r="D107" s="16">
        <v>2</v>
      </c>
      <c r="E107" s="16">
        <v>0</v>
      </c>
      <c r="F107" s="16">
        <v>1</v>
      </c>
      <c r="G107" s="16">
        <v>1</v>
      </c>
      <c r="H107" s="16">
        <v>0</v>
      </c>
      <c r="I107" s="16">
        <v>2</v>
      </c>
      <c r="J107" s="16">
        <v>0</v>
      </c>
      <c r="K107" s="16">
        <v>0</v>
      </c>
      <c r="L107" s="16">
        <v>0</v>
      </c>
      <c r="M107" s="16">
        <v>0</v>
      </c>
    </row>
    <row r="108" spans="1:17" x14ac:dyDescent="0.35">
      <c r="A108" s="16" t="s">
        <v>8</v>
      </c>
      <c r="B108" s="16" t="s">
        <v>11</v>
      </c>
      <c r="D108" s="16">
        <v>0</v>
      </c>
      <c r="E108" s="16">
        <v>3</v>
      </c>
      <c r="F108" s="16">
        <v>2</v>
      </c>
      <c r="G108" s="16">
        <v>1</v>
      </c>
      <c r="H108" s="16">
        <v>0</v>
      </c>
      <c r="I108" s="16">
        <v>0</v>
      </c>
      <c r="J108" s="16">
        <v>3</v>
      </c>
      <c r="K108" s="16">
        <v>0</v>
      </c>
      <c r="L108" s="16">
        <v>1</v>
      </c>
      <c r="M108" s="16">
        <v>0</v>
      </c>
    </row>
    <row r="109" spans="1:17" x14ac:dyDescent="0.35">
      <c r="B109" s="16" t="s">
        <v>72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</row>
    <row r="110" spans="1:17" x14ac:dyDescent="0.35">
      <c r="B110" s="16" t="s">
        <v>18</v>
      </c>
      <c r="D110" s="16">
        <v>3</v>
      </c>
      <c r="E110" s="16">
        <v>0</v>
      </c>
      <c r="F110" s="16">
        <v>3</v>
      </c>
      <c r="G110" s="16">
        <v>0</v>
      </c>
      <c r="H110" s="16">
        <v>0</v>
      </c>
      <c r="I110" s="16">
        <v>3</v>
      </c>
      <c r="J110" s="16">
        <v>0</v>
      </c>
      <c r="K110" s="16">
        <v>1</v>
      </c>
      <c r="L110" s="16">
        <v>2</v>
      </c>
      <c r="M110" s="16">
        <v>0</v>
      </c>
    </row>
    <row r="111" spans="1:17" x14ac:dyDescent="0.35">
      <c r="B111" s="16" t="s">
        <v>13</v>
      </c>
      <c r="D111" s="16">
        <v>2</v>
      </c>
      <c r="E111" s="16">
        <v>3</v>
      </c>
      <c r="F111" s="16">
        <v>3</v>
      </c>
      <c r="G111" s="16">
        <v>2</v>
      </c>
      <c r="H111" s="16">
        <v>0</v>
      </c>
      <c r="I111" s="16">
        <v>5</v>
      </c>
      <c r="J111" s="16">
        <v>0</v>
      </c>
      <c r="K111" s="16">
        <v>1</v>
      </c>
      <c r="L111" s="16">
        <v>2</v>
      </c>
      <c r="M111" s="16">
        <v>0</v>
      </c>
    </row>
    <row r="112" spans="1:17" x14ac:dyDescent="0.35">
      <c r="B112" s="16" t="s">
        <v>74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</row>
    <row r="113" spans="1:17" x14ac:dyDescent="0.35">
      <c r="A113" s="16" t="s">
        <v>9</v>
      </c>
      <c r="B113" s="16" t="s">
        <v>11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</row>
    <row r="114" spans="1:17" x14ac:dyDescent="0.35">
      <c r="B114" s="16" t="s">
        <v>72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</row>
    <row r="115" spans="1:17" x14ac:dyDescent="0.35">
      <c r="B115" s="16" t="s">
        <v>18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</row>
    <row r="116" spans="1:17" x14ac:dyDescent="0.35">
      <c r="B116" s="16" t="s">
        <v>13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</row>
    <row r="117" spans="1:17" x14ac:dyDescent="0.35">
      <c r="B117" s="16" t="s">
        <v>74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</row>
    <row r="119" spans="1:17" x14ac:dyDescent="0.35">
      <c r="A119" s="18" t="s">
        <v>41</v>
      </c>
      <c r="B119" s="20">
        <v>44641</v>
      </c>
      <c r="C119" s="16" t="s">
        <v>62</v>
      </c>
      <c r="D119" s="16" t="s">
        <v>3</v>
      </c>
      <c r="E119" s="16" t="s">
        <v>4</v>
      </c>
      <c r="F119" s="16" t="s">
        <v>10</v>
      </c>
      <c r="G119" s="16" t="s">
        <v>17</v>
      </c>
      <c r="H119" s="16" t="s">
        <v>19</v>
      </c>
      <c r="I119" s="16" t="s">
        <v>20</v>
      </c>
      <c r="J119" s="16" t="s">
        <v>21</v>
      </c>
      <c r="K119" s="16" t="s">
        <v>22</v>
      </c>
      <c r="L119" s="16" t="s">
        <v>23</v>
      </c>
      <c r="M119" s="16" t="s">
        <v>24</v>
      </c>
      <c r="N119" s="16" t="s">
        <v>15</v>
      </c>
      <c r="P119" s="16" t="s">
        <v>28</v>
      </c>
      <c r="Q119" s="16" t="s">
        <v>29</v>
      </c>
    </row>
    <row r="120" spans="1:17" x14ac:dyDescent="0.35">
      <c r="A120" s="16" t="s">
        <v>5</v>
      </c>
      <c r="D120" s="16">
        <v>0</v>
      </c>
      <c r="E120" s="16">
        <v>0</v>
      </c>
      <c r="N120" s="16">
        <v>0</v>
      </c>
      <c r="O120" s="16" t="s">
        <v>43</v>
      </c>
      <c r="P120" s="16">
        <v>6</v>
      </c>
      <c r="Q120" s="16">
        <v>1</v>
      </c>
    </row>
    <row r="121" spans="1:17" x14ac:dyDescent="0.35">
      <c r="A121" s="16" t="s">
        <v>6</v>
      </c>
      <c r="B121" s="16" t="s">
        <v>11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O121" s="16" t="s">
        <v>44</v>
      </c>
    </row>
    <row r="122" spans="1:17" x14ac:dyDescent="0.35">
      <c r="B122" s="16" t="s">
        <v>72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45</v>
      </c>
    </row>
    <row r="123" spans="1:17" x14ac:dyDescent="0.35">
      <c r="B123" s="16" t="s">
        <v>18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O123" s="16" t="s">
        <v>46</v>
      </c>
    </row>
    <row r="124" spans="1:17" x14ac:dyDescent="0.35">
      <c r="B124" s="16" t="s">
        <v>13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</row>
    <row r="125" spans="1:17" x14ac:dyDescent="0.35">
      <c r="A125" s="16" t="s">
        <v>7</v>
      </c>
      <c r="B125" s="16" t="s">
        <v>11</v>
      </c>
      <c r="D125" s="16">
        <v>0</v>
      </c>
      <c r="E125" s="16">
        <v>1</v>
      </c>
      <c r="F125" s="16">
        <v>1</v>
      </c>
      <c r="G125" s="16">
        <v>0</v>
      </c>
      <c r="H125" s="16">
        <v>0</v>
      </c>
      <c r="I125" s="16">
        <v>0</v>
      </c>
      <c r="J125" s="16">
        <v>1</v>
      </c>
      <c r="K125" s="16">
        <v>0</v>
      </c>
      <c r="L125" s="16">
        <v>0</v>
      </c>
      <c r="M125" s="16">
        <v>0</v>
      </c>
    </row>
    <row r="126" spans="1:17" x14ac:dyDescent="0.35">
      <c r="B126" s="16" t="s">
        <v>72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pans="1:17" x14ac:dyDescent="0.35">
      <c r="B127" s="16" t="s">
        <v>18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</row>
    <row r="128" spans="1:17" x14ac:dyDescent="0.35">
      <c r="B128" s="16" t="s">
        <v>13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</row>
    <row r="129" spans="1:17" x14ac:dyDescent="0.35">
      <c r="A129" s="16" t="s">
        <v>8</v>
      </c>
      <c r="B129" s="16" t="s">
        <v>11</v>
      </c>
      <c r="D129" s="16">
        <v>1</v>
      </c>
      <c r="E129" s="16">
        <v>1</v>
      </c>
      <c r="F129" s="16">
        <v>2</v>
      </c>
      <c r="G129" s="16">
        <v>0</v>
      </c>
      <c r="H129" s="16">
        <v>0</v>
      </c>
      <c r="I129" s="16">
        <v>0</v>
      </c>
      <c r="J129" s="16">
        <v>2</v>
      </c>
      <c r="K129" s="16">
        <v>0</v>
      </c>
      <c r="L129" s="16">
        <v>0</v>
      </c>
      <c r="M129" s="16">
        <v>0</v>
      </c>
    </row>
    <row r="130" spans="1:17" x14ac:dyDescent="0.35">
      <c r="B130" s="16" t="s">
        <v>72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</row>
    <row r="131" spans="1:17" x14ac:dyDescent="0.35">
      <c r="B131" s="16" t="s">
        <v>18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</row>
    <row r="132" spans="1:17" x14ac:dyDescent="0.35">
      <c r="B132" s="16" t="s">
        <v>13</v>
      </c>
      <c r="D132" s="16">
        <v>2</v>
      </c>
      <c r="E132" s="16">
        <v>2</v>
      </c>
      <c r="F132" s="16">
        <v>4</v>
      </c>
      <c r="G132" s="16">
        <v>0</v>
      </c>
      <c r="H132" s="16">
        <v>0</v>
      </c>
      <c r="I132" s="16">
        <v>3</v>
      </c>
      <c r="J132" s="16">
        <v>1</v>
      </c>
      <c r="K132" s="16">
        <v>0</v>
      </c>
      <c r="L132" s="16">
        <v>0</v>
      </c>
      <c r="M132" s="16">
        <v>0</v>
      </c>
    </row>
    <row r="133" spans="1:17" x14ac:dyDescent="0.35">
      <c r="B133" s="16" t="s">
        <v>74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</row>
    <row r="134" spans="1:17" x14ac:dyDescent="0.35">
      <c r="A134" s="16" t="s">
        <v>9</v>
      </c>
      <c r="B134" s="16" t="s">
        <v>11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</row>
    <row r="135" spans="1:17" x14ac:dyDescent="0.35">
      <c r="B135" s="16" t="s">
        <v>72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</row>
    <row r="136" spans="1:17" x14ac:dyDescent="0.35">
      <c r="B136" s="16" t="s">
        <v>18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</row>
    <row r="137" spans="1:17" x14ac:dyDescent="0.35">
      <c r="B137" s="16" t="s">
        <v>13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</row>
    <row r="138" spans="1:17" x14ac:dyDescent="0.35">
      <c r="B138" s="16" t="s">
        <v>74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</row>
    <row r="140" spans="1:17" x14ac:dyDescent="0.35">
      <c r="A140" s="18" t="s">
        <v>41</v>
      </c>
      <c r="B140" s="20">
        <v>44643</v>
      </c>
      <c r="C140" s="16" t="s">
        <v>42</v>
      </c>
      <c r="D140" s="16" t="s">
        <v>3</v>
      </c>
      <c r="E140" s="16" t="s">
        <v>4</v>
      </c>
      <c r="F140" s="16" t="s">
        <v>10</v>
      </c>
      <c r="G140" s="16" t="s">
        <v>17</v>
      </c>
      <c r="H140" s="16" t="s">
        <v>19</v>
      </c>
      <c r="I140" s="16" t="s">
        <v>20</v>
      </c>
      <c r="J140" s="16" t="s">
        <v>21</v>
      </c>
      <c r="K140" s="16" t="s">
        <v>22</v>
      </c>
      <c r="L140" s="16" t="s">
        <v>23</v>
      </c>
      <c r="M140" s="16" t="s">
        <v>24</v>
      </c>
      <c r="N140" s="16" t="s">
        <v>15</v>
      </c>
      <c r="P140" s="16" t="s">
        <v>28</v>
      </c>
      <c r="Q140" s="16" t="s">
        <v>29</v>
      </c>
    </row>
    <row r="141" spans="1:17" x14ac:dyDescent="0.35">
      <c r="A141" s="16" t="s">
        <v>5</v>
      </c>
      <c r="D141" s="16">
        <v>0</v>
      </c>
      <c r="E141" s="16">
        <v>0</v>
      </c>
      <c r="N141" s="16">
        <v>2</v>
      </c>
      <c r="O141" s="16" t="s">
        <v>43</v>
      </c>
      <c r="P141" s="16">
        <v>2</v>
      </c>
      <c r="Q141" s="16">
        <v>6</v>
      </c>
    </row>
    <row r="142" spans="1:17" x14ac:dyDescent="0.35">
      <c r="A142" s="16" t="s">
        <v>6</v>
      </c>
      <c r="B142" s="16" t="s">
        <v>11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2</v>
      </c>
      <c r="O142" s="16" t="s">
        <v>44</v>
      </c>
    </row>
    <row r="143" spans="1:17" x14ac:dyDescent="0.35">
      <c r="B143" s="16" t="s">
        <v>72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2</v>
      </c>
      <c r="O143" s="16" t="s">
        <v>45</v>
      </c>
    </row>
    <row r="144" spans="1:17" x14ac:dyDescent="0.35">
      <c r="B144" s="16" t="s">
        <v>18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2</v>
      </c>
      <c r="O144" s="16" t="s">
        <v>46</v>
      </c>
    </row>
    <row r="145" spans="1:13" x14ac:dyDescent="0.35">
      <c r="B145" s="16" t="s">
        <v>13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</row>
    <row r="146" spans="1:13" x14ac:dyDescent="0.35">
      <c r="A146" s="16" t="s">
        <v>7</v>
      </c>
      <c r="B146" s="16" t="s">
        <v>11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</row>
    <row r="147" spans="1:13" x14ac:dyDescent="0.35">
      <c r="B147" s="16" t="s">
        <v>72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</row>
    <row r="148" spans="1:13" x14ac:dyDescent="0.35">
      <c r="B148" s="16" t="s">
        <v>18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</row>
    <row r="149" spans="1:13" x14ac:dyDescent="0.35">
      <c r="B149" s="16" t="s">
        <v>13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</row>
    <row r="150" spans="1:13" x14ac:dyDescent="0.35">
      <c r="A150" s="16" t="s">
        <v>8</v>
      </c>
      <c r="B150" s="16" t="s">
        <v>11</v>
      </c>
      <c r="D150" s="16">
        <v>1</v>
      </c>
      <c r="E150" s="16">
        <v>1</v>
      </c>
      <c r="F150" s="16">
        <v>2</v>
      </c>
      <c r="G150" s="16">
        <v>0</v>
      </c>
      <c r="H150" s="16">
        <v>0</v>
      </c>
      <c r="I150" s="16">
        <v>0</v>
      </c>
      <c r="J150" s="16">
        <v>2</v>
      </c>
      <c r="K150" s="16">
        <v>0</v>
      </c>
      <c r="L150" s="16">
        <v>0</v>
      </c>
      <c r="M150" s="16">
        <v>0</v>
      </c>
    </row>
    <row r="151" spans="1:13" x14ac:dyDescent="0.35">
      <c r="B151" s="16" t="s">
        <v>72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</row>
    <row r="152" spans="1:13" x14ac:dyDescent="0.35">
      <c r="B152" s="16" t="s">
        <v>18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</row>
    <row r="153" spans="1:13" x14ac:dyDescent="0.35">
      <c r="B153" s="16" t="s">
        <v>13</v>
      </c>
      <c r="D153" s="16">
        <v>1</v>
      </c>
      <c r="E153" s="16">
        <v>4</v>
      </c>
      <c r="F153" s="16">
        <v>3</v>
      </c>
      <c r="G153" s="16">
        <v>2</v>
      </c>
      <c r="H153" s="16">
        <v>0</v>
      </c>
      <c r="I153" s="16">
        <v>4</v>
      </c>
      <c r="J153" s="16">
        <v>1</v>
      </c>
      <c r="K153" s="16">
        <v>0</v>
      </c>
      <c r="L153" s="16">
        <v>0</v>
      </c>
      <c r="M153" s="16">
        <v>0</v>
      </c>
    </row>
    <row r="154" spans="1:13" x14ac:dyDescent="0.35">
      <c r="B154" s="16" t="s">
        <v>74</v>
      </c>
      <c r="D154" s="16">
        <v>0</v>
      </c>
      <c r="E154" s="16">
        <v>1</v>
      </c>
      <c r="F154" s="16">
        <v>0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</row>
    <row r="155" spans="1:13" x14ac:dyDescent="0.35">
      <c r="A155" s="16" t="s">
        <v>9</v>
      </c>
      <c r="B155" s="16" t="s">
        <v>11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</row>
    <row r="156" spans="1:13" x14ac:dyDescent="0.35">
      <c r="B156" s="16" t="s">
        <v>72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</row>
    <row r="157" spans="1:13" x14ac:dyDescent="0.35">
      <c r="B157" s="16" t="s">
        <v>18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</row>
    <row r="158" spans="1:13" x14ac:dyDescent="0.35">
      <c r="B158" s="16" t="s">
        <v>13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</row>
    <row r="159" spans="1:13" x14ac:dyDescent="0.35">
      <c r="B159" s="16" t="s">
        <v>74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</row>
    <row r="161" spans="1:17" x14ac:dyDescent="0.35">
      <c r="A161" s="18" t="s">
        <v>41</v>
      </c>
      <c r="B161" s="20">
        <v>44643</v>
      </c>
      <c r="C161" s="16" t="s">
        <v>47</v>
      </c>
      <c r="D161" s="16" t="s">
        <v>3</v>
      </c>
      <c r="E161" s="16" t="s">
        <v>4</v>
      </c>
      <c r="F161" s="16" t="s">
        <v>10</v>
      </c>
      <c r="G161" s="16" t="s">
        <v>17</v>
      </c>
      <c r="H161" s="16" t="s">
        <v>19</v>
      </c>
      <c r="I161" s="16" t="s">
        <v>20</v>
      </c>
      <c r="J161" s="16" t="s">
        <v>21</v>
      </c>
      <c r="K161" s="16" t="s">
        <v>22</v>
      </c>
      <c r="L161" s="16" t="s">
        <v>23</v>
      </c>
      <c r="M161" s="16" t="s">
        <v>24</v>
      </c>
      <c r="N161" s="16" t="s">
        <v>15</v>
      </c>
      <c r="P161" s="16" t="s">
        <v>28</v>
      </c>
      <c r="Q161" s="16" t="s">
        <v>29</v>
      </c>
    </row>
    <row r="162" spans="1:17" x14ac:dyDescent="0.35">
      <c r="A162" s="16" t="s">
        <v>5</v>
      </c>
      <c r="D162" s="16">
        <v>0</v>
      </c>
      <c r="E162" s="16">
        <v>0</v>
      </c>
      <c r="N162" s="16">
        <v>3</v>
      </c>
      <c r="O162" s="16" t="s">
        <v>43</v>
      </c>
      <c r="P162" s="16">
        <v>3</v>
      </c>
      <c r="Q162" s="16">
        <v>5</v>
      </c>
    </row>
    <row r="163" spans="1:17" x14ac:dyDescent="0.35">
      <c r="A163" s="16" t="s">
        <v>6</v>
      </c>
      <c r="B163" s="16" t="s">
        <v>11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3</v>
      </c>
      <c r="O163" s="16" t="s">
        <v>44</v>
      </c>
    </row>
    <row r="164" spans="1:17" x14ac:dyDescent="0.35">
      <c r="B164" s="16" t="s">
        <v>72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3</v>
      </c>
      <c r="O164" s="16" t="s">
        <v>45</v>
      </c>
    </row>
    <row r="165" spans="1:17" x14ac:dyDescent="0.35">
      <c r="B165" s="16" t="s">
        <v>18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3</v>
      </c>
      <c r="O165" s="16" t="s">
        <v>46</v>
      </c>
    </row>
    <row r="166" spans="1:17" x14ac:dyDescent="0.35">
      <c r="B166" s="16" t="s">
        <v>13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</row>
    <row r="167" spans="1:17" x14ac:dyDescent="0.35">
      <c r="A167" s="16" t="s">
        <v>7</v>
      </c>
      <c r="B167" s="16" t="s">
        <v>11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O167" s="21">
        <v>2</v>
      </c>
      <c r="P167" s="21" t="s">
        <v>64</v>
      </c>
    </row>
    <row r="168" spans="1:17" x14ac:dyDescent="0.35">
      <c r="B168" s="16" t="s">
        <v>69</v>
      </c>
      <c r="D168" s="16">
        <v>1</v>
      </c>
      <c r="E168" s="16">
        <v>0</v>
      </c>
      <c r="F168" s="16">
        <v>1</v>
      </c>
      <c r="G168" s="16">
        <v>0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O168" s="21">
        <v>1</v>
      </c>
      <c r="P168" s="21" t="s">
        <v>65</v>
      </c>
    </row>
    <row r="169" spans="1:17" x14ac:dyDescent="0.35">
      <c r="B169" s="16" t="s">
        <v>18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</row>
    <row r="170" spans="1:17" x14ac:dyDescent="0.35">
      <c r="B170" s="16" t="s">
        <v>13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</row>
    <row r="171" spans="1:17" x14ac:dyDescent="0.35">
      <c r="A171" s="16" t="s">
        <v>8</v>
      </c>
      <c r="B171" s="16" t="s">
        <v>11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</row>
    <row r="172" spans="1:17" x14ac:dyDescent="0.35">
      <c r="B172" s="16" t="s">
        <v>69</v>
      </c>
      <c r="D172" s="16">
        <v>2</v>
      </c>
      <c r="E172" s="16">
        <v>0</v>
      </c>
      <c r="F172" s="16">
        <v>2</v>
      </c>
      <c r="G172" s="16">
        <v>0</v>
      </c>
      <c r="H172" s="16">
        <v>2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</row>
    <row r="173" spans="1:17" x14ac:dyDescent="0.35">
      <c r="B173" s="16" t="s">
        <v>18</v>
      </c>
      <c r="D173" s="16">
        <v>0</v>
      </c>
      <c r="E173" s="16">
        <v>1</v>
      </c>
      <c r="F173" s="16">
        <v>1</v>
      </c>
      <c r="G173" s="16">
        <v>0</v>
      </c>
      <c r="H173" s="16">
        <v>0</v>
      </c>
      <c r="I173" s="16">
        <v>1</v>
      </c>
      <c r="J173" s="16">
        <v>0</v>
      </c>
      <c r="K173" s="16">
        <v>0</v>
      </c>
      <c r="L173" s="16">
        <v>0</v>
      </c>
      <c r="M173" s="16">
        <v>0</v>
      </c>
    </row>
    <row r="174" spans="1:17" x14ac:dyDescent="0.35">
      <c r="B174" s="16" t="s">
        <v>13</v>
      </c>
      <c r="D174" s="16">
        <v>2</v>
      </c>
      <c r="E174" s="16">
        <v>2</v>
      </c>
      <c r="F174" s="16">
        <v>4</v>
      </c>
      <c r="G174" s="16">
        <v>0</v>
      </c>
      <c r="H174" s="16">
        <v>0</v>
      </c>
      <c r="I174" s="16">
        <v>4</v>
      </c>
      <c r="J174" s="16">
        <v>0</v>
      </c>
      <c r="K174" s="16">
        <v>0</v>
      </c>
      <c r="L174" s="16">
        <v>0</v>
      </c>
      <c r="M174" s="16">
        <v>0</v>
      </c>
    </row>
    <row r="175" spans="1:17" x14ac:dyDescent="0.35">
      <c r="B175" s="16" t="s">
        <v>74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</row>
    <row r="176" spans="1:17" x14ac:dyDescent="0.35">
      <c r="A176" s="16" t="s">
        <v>9</v>
      </c>
      <c r="B176" s="16" t="s">
        <v>11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</row>
    <row r="177" spans="1:17" x14ac:dyDescent="0.35">
      <c r="B177" s="16" t="s">
        <v>72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</row>
    <row r="178" spans="1:17" x14ac:dyDescent="0.35">
      <c r="B178" s="16" t="s">
        <v>18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</row>
    <row r="179" spans="1:17" x14ac:dyDescent="0.35">
      <c r="B179" s="16" t="s">
        <v>13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</row>
    <row r="180" spans="1:17" x14ac:dyDescent="0.35">
      <c r="B180" s="16" t="s">
        <v>74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</row>
    <row r="182" spans="1:17" x14ac:dyDescent="0.35">
      <c r="A182" s="18" t="s">
        <v>41</v>
      </c>
      <c r="B182" s="20">
        <v>44643</v>
      </c>
      <c r="C182" s="16" t="s">
        <v>48</v>
      </c>
      <c r="D182" s="16" t="s">
        <v>3</v>
      </c>
      <c r="E182" s="16" t="s">
        <v>4</v>
      </c>
      <c r="F182" s="16" t="s">
        <v>10</v>
      </c>
      <c r="G182" s="16" t="s">
        <v>17</v>
      </c>
      <c r="H182" s="16" t="s">
        <v>19</v>
      </c>
      <c r="I182" s="16" t="s">
        <v>20</v>
      </c>
      <c r="J182" s="16" t="s">
        <v>21</v>
      </c>
      <c r="K182" s="16" t="s">
        <v>22</v>
      </c>
      <c r="L182" s="16" t="s">
        <v>23</v>
      </c>
      <c r="M182" s="16" t="s">
        <v>24</v>
      </c>
      <c r="N182" s="16" t="s">
        <v>15</v>
      </c>
      <c r="P182" s="16" t="s">
        <v>28</v>
      </c>
      <c r="Q182" s="16" t="s">
        <v>29</v>
      </c>
    </row>
    <row r="183" spans="1:17" x14ac:dyDescent="0.35">
      <c r="A183" s="16" t="s">
        <v>5</v>
      </c>
      <c r="D183" s="16">
        <v>1</v>
      </c>
      <c r="E183" s="16">
        <v>1</v>
      </c>
      <c r="N183" s="16">
        <v>15</v>
      </c>
      <c r="O183" s="16" t="s">
        <v>43</v>
      </c>
      <c r="P183" s="16">
        <v>14</v>
      </c>
      <c r="Q183" s="16">
        <v>8</v>
      </c>
    </row>
    <row r="184" spans="1:17" x14ac:dyDescent="0.35">
      <c r="A184" s="16" t="s">
        <v>6</v>
      </c>
      <c r="B184" s="16" t="s">
        <v>11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2</v>
      </c>
      <c r="O184" s="16" t="s">
        <v>44</v>
      </c>
    </row>
    <row r="185" spans="1:17" x14ac:dyDescent="0.35">
      <c r="B185" s="16" t="s">
        <v>72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5</v>
      </c>
      <c r="O185" s="16" t="s">
        <v>45</v>
      </c>
    </row>
    <row r="186" spans="1:17" x14ac:dyDescent="0.35">
      <c r="B186" s="16" t="s">
        <v>18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3</v>
      </c>
      <c r="O186" s="16" t="s">
        <v>46</v>
      </c>
    </row>
    <row r="187" spans="1:17" x14ac:dyDescent="0.35">
      <c r="B187" s="16" t="s">
        <v>13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</row>
    <row r="188" spans="1:17" x14ac:dyDescent="0.35">
      <c r="A188" s="16" t="s">
        <v>7</v>
      </c>
      <c r="B188" s="16" t="s">
        <v>11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</row>
    <row r="189" spans="1:17" x14ac:dyDescent="0.35">
      <c r="B189" s="16" t="s">
        <v>72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</row>
    <row r="190" spans="1:17" x14ac:dyDescent="0.35">
      <c r="B190" s="16" t="s">
        <v>18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</row>
    <row r="191" spans="1:17" x14ac:dyDescent="0.35">
      <c r="B191" s="16" t="s">
        <v>13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</row>
    <row r="192" spans="1:17" x14ac:dyDescent="0.35">
      <c r="A192" s="16" t="s">
        <v>8</v>
      </c>
      <c r="B192" s="16" t="s">
        <v>11</v>
      </c>
      <c r="D192" s="16">
        <v>1</v>
      </c>
      <c r="E192" s="16">
        <v>3</v>
      </c>
      <c r="F192" s="16">
        <v>4</v>
      </c>
      <c r="G192" s="16">
        <v>0</v>
      </c>
      <c r="H192" s="16">
        <v>0</v>
      </c>
      <c r="I192" s="16">
        <v>0</v>
      </c>
      <c r="J192" s="16">
        <v>4</v>
      </c>
      <c r="K192" s="16">
        <v>0</v>
      </c>
      <c r="L192" s="16">
        <v>0</v>
      </c>
      <c r="M192" s="16">
        <v>0</v>
      </c>
    </row>
    <row r="193" spans="1:17" x14ac:dyDescent="0.35">
      <c r="B193" s="16" t="s">
        <v>72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</row>
    <row r="194" spans="1:17" x14ac:dyDescent="0.35">
      <c r="B194" s="16" t="s">
        <v>18</v>
      </c>
      <c r="D194" s="16">
        <v>4</v>
      </c>
      <c r="E194" s="16">
        <v>0</v>
      </c>
      <c r="F194" s="16">
        <v>4</v>
      </c>
      <c r="G194" s="16">
        <v>0</v>
      </c>
      <c r="H194" s="16">
        <v>0</v>
      </c>
      <c r="I194" s="16">
        <v>4</v>
      </c>
      <c r="J194" s="16">
        <v>0</v>
      </c>
      <c r="K194" s="16">
        <v>0</v>
      </c>
      <c r="L194" s="16">
        <v>0</v>
      </c>
      <c r="M194" s="16">
        <v>0</v>
      </c>
    </row>
    <row r="195" spans="1:17" x14ac:dyDescent="0.35">
      <c r="B195" s="16" t="s">
        <v>13</v>
      </c>
      <c r="D195" s="16">
        <v>1</v>
      </c>
      <c r="E195" s="16">
        <v>2</v>
      </c>
      <c r="F195" s="16">
        <v>1</v>
      </c>
      <c r="G195" s="16">
        <v>2</v>
      </c>
      <c r="H195" s="16">
        <v>0</v>
      </c>
      <c r="I195" s="16">
        <v>3</v>
      </c>
      <c r="J195" s="16">
        <v>0</v>
      </c>
      <c r="K195" s="16">
        <v>0</v>
      </c>
      <c r="L195" s="16">
        <v>0</v>
      </c>
      <c r="M195" s="16">
        <v>0</v>
      </c>
    </row>
    <row r="196" spans="1:17" x14ac:dyDescent="0.35">
      <c r="B196" s="16" t="s">
        <v>74</v>
      </c>
      <c r="D196" s="16">
        <v>2</v>
      </c>
      <c r="E196" s="16">
        <v>3</v>
      </c>
      <c r="F196" s="16">
        <v>5</v>
      </c>
      <c r="G196" s="16">
        <v>0</v>
      </c>
      <c r="H196" s="16">
        <v>5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</row>
    <row r="197" spans="1:17" x14ac:dyDescent="0.35">
      <c r="A197" s="16" t="s">
        <v>9</v>
      </c>
      <c r="B197" s="16" t="s">
        <v>11</v>
      </c>
      <c r="D197" s="16">
        <v>0</v>
      </c>
      <c r="E197" s="16">
        <v>1</v>
      </c>
      <c r="F197" s="16">
        <v>1</v>
      </c>
      <c r="G197" s="16">
        <v>0</v>
      </c>
      <c r="H197" s="16">
        <v>0</v>
      </c>
      <c r="I197" s="16">
        <v>0</v>
      </c>
      <c r="J197" s="16">
        <v>1</v>
      </c>
      <c r="K197" s="16">
        <v>0</v>
      </c>
      <c r="L197" s="16">
        <v>0</v>
      </c>
      <c r="M197" s="16">
        <v>0</v>
      </c>
    </row>
    <row r="198" spans="1:17" x14ac:dyDescent="0.35">
      <c r="B198" s="16" t="s">
        <v>72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</row>
    <row r="199" spans="1:17" x14ac:dyDescent="0.35">
      <c r="B199" s="16" t="s">
        <v>18</v>
      </c>
      <c r="D199" s="16">
        <v>0</v>
      </c>
      <c r="E199" s="16">
        <v>1</v>
      </c>
      <c r="F199" s="16">
        <v>1</v>
      </c>
      <c r="G199" s="16">
        <v>0</v>
      </c>
      <c r="H199" s="16">
        <v>0</v>
      </c>
      <c r="I199" s="16">
        <v>1</v>
      </c>
      <c r="J199" s="16">
        <v>0</v>
      </c>
      <c r="K199" s="16">
        <v>0</v>
      </c>
      <c r="L199" s="16">
        <v>0</v>
      </c>
      <c r="M199" s="16">
        <v>0</v>
      </c>
    </row>
    <row r="200" spans="1:17" x14ac:dyDescent="0.35">
      <c r="B200" s="16" t="s">
        <v>13</v>
      </c>
      <c r="D200" s="16">
        <v>1</v>
      </c>
      <c r="E200" s="16">
        <v>1</v>
      </c>
      <c r="F200" s="16">
        <v>2</v>
      </c>
      <c r="G200" s="16">
        <v>0</v>
      </c>
      <c r="H200" s="16">
        <v>0</v>
      </c>
      <c r="I200" s="16">
        <v>2</v>
      </c>
      <c r="J200" s="16">
        <v>0</v>
      </c>
      <c r="K200" s="16">
        <v>0</v>
      </c>
      <c r="L200" s="16">
        <v>0</v>
      </c>
      <c r="M200" s="16">
        <v>0</v>
      </c>
    </row>
    <row r="201" spans="1:17" x14ac:dyDescent="0.35">
      <c r="B201" s="16" t="s">
        <v>74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</row>
    <row r="203" spans="1:17" x14ac:dyDescent="0.35">
      <c r="A203" s="18" t="s">
        <v>41</v>
      </c>
      <c r="B203" s="20">
        <v>44643</v>
      </c>
      <c r="C203" s="16" t="s">
        <v>62</v>
      </c>
      <c r="D203" s="16" t="s">
        <v>3</v>
      </c>
      <c r="E203" s="16" t="s">
        <v>4</v>
      </c>
      <c r="F203" s="16" t="s">
        <v>10</v>
      </c>
      <c r="G203" s="16" t="s">
        <v>17</v>
      </c>
      <c r="H203" s="16" t="s">
        <v>19</v>
      </c>
      <c r="I203" s="16" t="s">
        <v>20</v>
      </c>
      <c r="J203" s="16" t="s">
        <v>21</v>
      </c>
      <c r="K203" s="16" t="s">
        <v>22</v>
      </c>
      <c r="L203" s="16" t="s">
        <v>23</v>
      </c>
      <c r="M203" s="16" t="s">
        <v>24</v>
      </c>
      <c r="N203" s="16" t="s">
        <v>15</v>
      </c>
      <c r="P203" s="16" t="s">
        <v>28</v>
      </c>
      <c r="Q203" s="16" t="s">
        <v>29</v>
      </c>
    </row>
    <row r="204" spans="1:17" x14ac:dyDescent="0.35">
      <c r="A204" s="16" t="s">
        <v>5</v>
      </c>
      <c r="D204" s="16">
        <v>0</v>
      </c>
      <c r="E204" s="16">
        <v>0</v>
      </c>
      <c r="N204" s="16">
        <v>0</v>
      </c>
      <c r="O204" s="16" t="s">
        <v>43</v>
      </c>
      <c r="P204" s="16">
        <v>2</v>
      </c>
      <c r="Q204" s="16">
        <v>3</v>
      </c>
    </row>
    <row r="205" spans="1:17" x14ac:dyDescent="0.35">
      <c r="A205" s="16" t="s">
        <v>6</v>
      </c>
      <c r="B205" s="16" t="s">
        <v>11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O205" s="16" t="s">
        <v>44</v>
      </c>
    </row>
    <row r="206" spans="1:17" x14ac:dyDescent="0.35">
      <c r="B206" s="16" t="s">
        <v>72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45</v>
      </c>
    </row>
    <row r="207" spans="1:17" x14ac:dyDescent="0.35">
      <c r="B207" s="16" t="s">
        <v>18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O207" s="16" t="s">
        <v>46</v>
      </c>
    </row>
    <row r="208" spans="1:17" x14ac:dyDescent="0.35">
      <c r="B208" s="16" t="s">
        <v>13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</row>
    <row r="209" spans="1:13" x14ac:dyDescent="0.35">
      <c r="A209" s="16" t="s">
        <v>7</v>
      </c>
      <c r="B209" s="16" t="s">
        <v>11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</row>
    <row r="210" spans="1:13" x14ac:dyDescent="0.35">
      <c r="B210" s="16" t="s">
        <v>72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</row>
    <row r="211" spans="1:13" x14ac:dyDescent="0.35">
      <c r="B211" s="16" t="s">
        <v>18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</row>
    <row r="212" spans="1:13" x14ac:dyDescent="0.35">
      <c r="B212" s="16" t="s">
        <v>13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</row>
    <row r="213" spans="1:13" x14ac:dyDescent="0.35">
      <c r="A213" s="16" t="s">
        <v>8</v>
      </c>
      <c r="B213" s="16" t="s">
        <v>11</v>
      </c>
      <c r="D213" s="16">
        <v>0</v>
      </c>
      <c r="E213" s="16">
        <v>1</v>
      </c>
      <c r="F213" s="16">
        <v>1</v>
      </c>
      <c r="G213" s="16">
        <v>0</v>
      </c>
      <c r="H213" s="16">
        <v>0</v>
      </c>
      <c r="I213" s="16">
        <v>0</v>
      </c>
      <c r="J213" s="16">
        <v>1</v>
      </c>
      <c r="K213" s="16">
        <v>0</v>
      </c>
      <c r="L213" s="16">
        <v>0</v>
      </c>
      <c r="M213" s="16">
        <v>0</v>
      </c>
    </row>
    <row r="214" spans="1:13" x14ac:dyDescent="0.35">
      <c r="B214" s="16" t="s">
        <v>72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</row>
    <row r="215" spans="1:13" x14ac:dyDescent="0.35">
      <c r="B215" s="16" t="s">
        <v>18</v>
      </c>
      <c r="D215" s="16">
        <v>1</v>
      </c>
      <c r="E215" s="16">
        <v>0</v>
      </c>
      <c r="F215" s="16">
        <v>1</v>
      </c>
      <c r="G215" s="16">
        <v>0</v>
      </c>
      <c r="H215" s="16">
        <v>0</v>
      </c>
      <c r="I215" s="16">
        <v>1</v>
      </c>
      <c r="J215" s="16">
        <v>0</v>
      </c>
      <c r="K215" s="16">
        <v>0</v>
      </c>
      <c r="L215" s="16">
        <v>0</v>
      </c>
      <c r="M215" s="16">
        <v>0</v>
      </c>
    </row>
    <row r="216" spans="1:13" x14ac:dyDescent="0.35">
      <c r="B216" s="16" t="s">
        <v>13</v>
      </c>
      <c r="D216" s="16">
        <v>0</v>
      </c>
      <c r="E216" s="16">
        <v>3</v>
      </c>
      <c r="F216" s="16">
        <v>2</v>
      </c>
      <c r="G216" s="16">
        <v>1</v>
      </c>
      <c r="H216" s="16">
        <v>0</v>
      </c>
      <c r="I216" s="16">
        <v>2</v>
      </c>
      <c r="J216" s="16">
        <v>1</v>
      </c>
      <c r="K216" s="16">
        <v>0</v>
      </c>
      <c r="L216" s="16">
        <v>0</v>
      </c>
      <c r="M216" s="16">
        <v>0</v>
      </c>
    </row>
    <row r="217" spans="1:13" x14ac:dyDescent="0.35">
      <c r="B217" s="16" t="s">
        <v>74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</row>
    <row r="218" spans="1:13" x14ac:dyDescent="0.35">
      <c r="A218" s="16" t="s">
        <v>9</v>
      </c>
      <c r="B218" s="16" t="s">
        <v>11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</row>
    <row r="219" spans="1:13" x14ac:dyDescent="0.35">
      <c r="B219" s="16" t="s">
        <v>72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</row>
    <row r="220" spans="1:13" x14ac:dyDescent="0.35">
      <c r="B220" s="16" t="s">
        <v>18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</row>
    <row r="221" spans="1:13" x14ac:dyDescent="0.35">
      <c r="B221" s="16" t="s">
        <v>13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</row>
    <row r="222" spans="1:13" x14ac:dyDescent="0.35">
      <c r="B222" s="16" t="s">
        <v>74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</row>
  </sheetData>
  <mergeCells count="3">
    <mergeCell ref="R34:AA34"/>
    <mergeCell ref="S4:W4"/>
    <mergeCell ref="AB34:AE3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0E40E-9249-4937-8205-3A24B118B9D3}">
  <sheetPr>
    <tabColor theme="7"/>
  </sheetPr>
  <dimension ref="A1:AN222"/>
  <sheetViews>
    <sheetView zoomScale="70" zoomScaleNormal="70" workbookViewId="0">
      <selection activeCell="B10" sqref="B10"/>
    </sheetView>
  </sheetViews>
  <sheetFormatPr defaultRowHeight="14.5" x14ac:dyDescent="0.35"/>
  <cols>
    <col min="1" max="1" width="22.7265625" style="16" bestFit="1" customWidth="1"/>
    <col min="2" max="2" width="20.54296875" style="16" bestFit="1" customWidth="1"/>
    <col min="3" max="3" width="28.6328125" style="16" bestFit="1" customWidth="1"/>
    <col min="4" max="4" width="9.54296875" style="16" bestFit="1" customWidth="1"/>
    <col min="5" max="5" width="6.81640625" style="16" bestFit="1" customWidth="1"/>
    <col min="6" max="6" width="7.7265625" style="16" bestFit="1" customWidth="1"/>
    <col min="7" max="7" width="18.36328125" style="16" bestFit="1" customWidth="1"/>
    <col min="8" max="8" width="12.81640625" style="16" bestFit="1" customWidth="1"/>
    <col min="9" max="9" width="10.08984375" style="16" bestFit="1" customWidth="1"/>
    <col min="10" max="10" width="11.1796875" style="16" bestFit="1" customWidth="1"/>
    <col min="11" max="11" width="16.6328125" style="16" bestFit="1" customWidth="1"/>
    <col min="12" max="12" width="14.1796875" style="16" bestFit="1" customWidth="1"/>
    <col min="13" max="13" width="23.26953125" style="16" bestFit="1" customWidth="1"/>
    <col min="14" max="14" width="14.1796875" style="16" bestFit="1" customWidth="1"/>
    <col min="15" max="15" width="5.453125" style="16" bestFit="1" customWidth="1"/>
    <col min="16" max="16" width="8.7265625" style="16"/>
    <col min="17" max="17" width="17.08984375" style="16" bestFit="1" customWidth="1"/>
    <col min="18" max="18" width="15.54296875" style="16" bestFit="1" customWidth="1"/>
    <col min="19" max="19" width="16.08984375" style="16" bestFit="1" customWidth="1"/>
    <col min="20" max="21" width="12" style="16" bestFit="1" customWidth="1"/>
    <col min="22" max="22" width="7.08984375" style="16" bestFit="1" customWidth="1"/>
    <col min="23" max="23" width="13.1796875" style="16" bestFit="1" customWidth="1"/>
    <col min="24" max="24" width="10.6328125" style="16" bestFit="1" customWidth="1"/>
    <col min="25" max="25" width="10.08984375" style="16" bestFit="1" customWidth="1"/>
    <col min="26" max="26" width="16.08984375" style="16" bestFit="1" customWidth="1"/>
    <col min="27" max="27" width="8.81640625" style="16" bestFit="1" customWidth="1"/>
    <col min="28" max="35" width="8.7265625" style="16"/>
    <col min="36" max="36" width="47.26953125" style="16" bestFit="1" customWidth="1"/>
    <col min="37" max="37" width="42.36328125" style="16" bestFit="1" customWidth="1"/>
    <col min="38" max="38" width="46.08984375" style="16" bestFit="1" customWidth="1"/>
    <col min="39" max="40" width="46.453125" style="16" bestFit="1" customWidth="1"/>
    <col min="41" max="16384" width="8.7265625" style="16"/>
  </cols>
  <sheetData>
    <row r="1" spans="1:40" ht="67" customHeight="1" thickBot="1" x14ac:dyDescent="0.4">
      <c r="A1" s="51" t="s">
        <v>133</v>
      </c>
      <c r="B1" s="13"/>
      <c r="C1" s="13"/>
      <c r="D1" s="35" t="s">
        <v>3</v>
      </c>
      <c r="E1" s="35" t="s">
        <v>4</v>
      </c>
      <c r="F1" s="35" t="s">
        <v>10</v>
      </c>
      <c r="G1" s="35" t="s">
        <v>17</v>
      </c>
      <c r="H1" s="35" t="s">
        <v>19</v>
      </c>
      <c r="I1" s="35" t="s">
        <v>20</v>
      </c>
      <c r="J1" s="35" t="s">
        <v>21</v>
      </c>
      <c r="K1" s="35" t="s">
        <v>22</v>
      </c>
      <c r="L1" s="35" t="s">
        <v>23</v>
      </c>
      <c r="M1" s="35" t="s">
        <v>24</v>
      </c>
      <c r="N1" s="53"/>
      <c r="O1" s="53"/>
      <c r="P1" s="53"/>
      <c r="Q1" s="53"/>
    </row>
    <row r="2" spans="1:40" x14ac:dyDescent="0.35">
      <c r="A2" s="36"/>
      <c r="B2" s="36"/>
      <c r="C2" s="63" t="s">
        <v>68</v>
      </c>
      <c r="D2" s="37">
        <f>(SUM(D37:D54)/($N$54-$C$36))</f>
        <v>0.56521739130434778</v>
      </c>
      <c r="E2" s="37">
        <f t="shared" ref="E2:M2" si="0">(SUM(E37:E54)/($N$54-$C$36))</f>
        <v>0.43478260869565216</v>
      </c>
      <c r="F2" s="37">
        <f t="shared" si="0"/>
        <v>0.85217391304347823</v>
      </c>
      <c r="G2" s="37">
        <f t="shared" si="0"/>
        <v>0.14782608695652175</v>
      </c>
      <c r="H2" s="37">
        <f t="shared" si="0"/>
        <v>8.6956521739130436E-3</v>
      </c>
      <c r="I2" s="37">
        <f t="shared" si="0"/>
        <v>0.86956521739130432</v>
      </c>
      <c r="J2" s="37">
        <f t="shared" si="0"/>
        <v>0.11304347826086956</v>
      </c>
      <c r="K2" s="37">
        <f t="shared" si="0"/>
        <v>2.6086956521739129E-2</v>
      </c>
      <c r="L2" s="37">
        <f t="shared" si="0"/>
        <v>0</v>
      </c>
      <c r="M2" s="37">
        <f t="shared" si="0"/>
        <v>0</v>
      </c>
      <c r="N2" s="53"/>
      <c r="O2" s="53"/>
      <c r="P2" s="53"/>
      <c r="Q2" s="53"/>
      <c r="AJ2" s="94" t="s">
        <v>122</v>
      </c>
      <c r="AK2" s="95"/>
      <c r="AL2" s="95"/>
      <c r="AM2" s="95"/>
      <c r="AN2" s="96"/>
    </row>
    <row r="3" spans="1:40" x14ac:dyDescent="0.35">
      <c r="A3" s="36"/>
      <c r="B3" s="36"/>
      <c r="C3" s="63" t="s">
        <v>67</v>
      </c>
      <c r="D3" s="38">
        <f>SUM(D37:D54)</f>
        <v>65</v>
      </c>
      <c r="E3" s="38">
        <f t="shared" ref="E3:M3" si="1">SUM(E37:E54)</f>
        <v>50</v>
      </c>
      <c r="F3" s="38">
        <f t="shared" si="1"/>
        <v>98</v>
      </c>
      <c r="G3" s="38">
        <f t="shared" si="1"/>
        <v>17</v>
      </c>
      <c r="H3" s="38">
        <f t="shared" si="1"/>
        <v>1</v>
      </c>
      <c r="I3" s="38">
        <f t="shared" si="1"/>
        <v>100</v>
      </c>
      <c r="J3" s="38">
        <f t="shared" si="1"/>
        <v>13</v>
      </c>
      <c r="K3" s="38">
        <f t="shared" si="1"/>
        <v>3</v>
      </c>
      <c r="L3" s="38">
        <f t="shared" si="1"/>
        <v>0</v>
      </c>
      <c r="M3" s="38">
        <f t="shared" si="1"/>
        <v>0</v>
      </c>
      <c r="N3" s="53"/>
      <c r="O3" s="53"/>
      <c r="P3" s="53"/>
      <c r="Q3" s="53"/>
      <c r="AJ3" s="1" t="s">
        <v>85</v>
      </c>
      <c r="AK3" s="1" t="s">
        <v>86</v>
      </c>
      <c r="AL3" s="1" t="s">
        <v>87</v>
      </c>
      <c r="AM3" s="1" t="s">
        <v>88</v>
      </c>
      <c r="AN3" s="1" t="s">
        <v>89</v>
      </c>
    </row>
    <row r="4" spans="1:40" x14ac:dyDescent="0.35">
      <c r="A4" s="39" t="s">
        <v>68</v>
      </c>
      <c r="B4" s="40" t="s">
        <v>73</v>
      </c>
      <c r="C4" s="39">
        <f>C9/($N$54-$C$36)</f>
        <v>7.8260869565217397E-2</v>
      </c>
      <c r="D4" s="39">
        <f>D9/(D9+E9)</f>
        <v>0.44444444444444442</v>
      </c>
      <c r="E4" s="39">
        <f>E9/(D9+E9)</f>
        <v>0.55555555555555558</v>
      </c>
      <c r="F4" s="39">
        <f>F9/(F9+G9)</f>
        <v>0.44444444444444442</v>
      </c>
      <c r="G4" s="39">
        <f>G9/(F9+G9)</f>
        <v>0.55555555555555558</v>
      </c>
      <c r="H4" s="39">
        <f>H9/(H9+I9+J9)</f>
        <v>0</v>
      </c>
      <c r="I4" s="41">
        <f>I9/(H9+I9+J9)</f>
        <v>0</v>
      </c>
      <c r="J4" s="39">
        <f>J9/(H9+I9+J9)</f>
        <v>1</v>
      </c>
      <c r="K4" s="39">
        <f>K9/C9</f>
        <v>0</v>
      </c>
      <c r="L4" s="39">
        <f>L9/C9</f>
        <v>0</v>
      </c>
      <c r="M4" s="41"/>
      <c r="N4" s="53"/>
      <c r="O4" s="53"/>
      <c r="P4" s="53"/>
      <c r="Q4" s="53"/>
    </row>
    <row r="5" spans="1:40" x14ac:dyDescent="0.35">
      <c r="A5" s="39"/>
      <c r="B5" s="40" t="s">
        <v>72</v>
      </c>
      <c r="C5" s="39">
        <v>0</v>
      </c>
      <c r="D5" s="39"/>
      <c r="E5" s="39"/>
      <c r="F5" s="39"/>
      <c r="G5" s="39"/>
      <c r="H5" s="39"/>
      <c r="I5" s="41"/>
      <c r="J5" s="39"/>
      <c r="K5" s="39"/>
      <c r="L5" s="39"/>
      <c r="M5" s="41"/>
      <c r="N5" s="53"/>
      <c r="O5" s="53"/>
      <c r="P5" s="53"/>
      <c r="Q5" s="53"/>
    </row>
    <row r="6" spans="1:40" x14ac:dyDescent="0.35">
      <c r="A6" s="39"/>
      <c r="B6" s="40" t="s">
        <v>18</v>
      </c>
      <c r="C6" s="39">
        <f t="shared" ref="C6:C8" si="2">C11/($N$54-$C$36)</f>
        <v>0.35652173913043478</v>
      </c>
      <c r="D6" s="39">
        <f>D11/(D11+E11)</f>
        <v>0.53658536585365857</v>
      </c>
      <c r="E6" s="39">
        <f t="shared" ref="E6:E8" si="3">E11/(D11+E11)</f>
        <v>0.46341463414634149</v>
      </c>
      <c r="F6" s="39">
        <f t="shared" ref="F6:F8" si="4">F11/(F11+G11)</f>
        <v>0.97560975609756095</v>
      </c>
      <c r="G6" s="39">
        <f t="shared" ref="G6:G8" si="5">G11/(F11+G11)</f>
        <v>2.4390243902439025E-2</v>
      </c>
      <c r="H6" s="39">
        <f t="shared" ref="H6:H8" si="6">H11/(H11+I11+J11)</f>
        <v>0</v>
      </c>
      <c r="I6" s="39">
        <f t="shared" ref="I6:I8" si="7">I11/(H11+I11+J11)</f>
        <v>1</v>
      </c>
      <c r="J6" s="39">
        <f t="shared" ref="J6:J8" si="8">J11/(H11+I11+J11)</f>
        <v>0</v>
      </c>
      <c r="K6" s="39">
        <f t="shared" ref="K6:K8" si="9">K11/C11</f>
        <v>0</v>
      </c>
      <c r="L6" s="39">
        <f t="shared" ref="L6:L8" si="10">L11/C11</f>
        <v>0</v>
      </c>
      <c r="M6" s="41"/>
      <c r="N6" s="53"/>
      <c r="O6" s="53"/>
      <c r="P6" s="53"/>
      <c r="Q6" s="53"/>
    </row>
    <row r="7" spans="1:40" x14ac:dyDescent="0.35">
      <c r="A7" s="40"/>
      <c r="B7" s="40" t="s">
        <v>75</v>
      </c>
      <c r="C7" s="39">
        <f t="shared" si="2"/>
        <v>0.55652173913043479</v>
      </c>
      <c r="D7" s="39">
        <f t="shared" ref="D7:D8" si="11">D12/(D12+E12)</f>
        <v>0.609375</v>
      </c>
      <c r="E7" s="39">
        <f t="shared" si="3"/>
        <v>0.390625</v>
      </c>
      <c r="F7" s="39">
        <f t="shared" si="4"/>
        <v>0.828125</v>
      </c>
      <c r="G7" s="39">
        <f t="shared" si="5"/>
        <v>0.171875</v>
      </c>
      <c r="H7" s="39">
        <f t="shared" si="6"/>
        <v>0</v>
      </c>
      <c r="I7" s="39">
        <f t="shared" si="7"/>
        <v>0.93650793650793651</v>
      </c>
      <c r="J7" s="39">
        <f t="shared" si="8"/>
        <v>6.3492063492063489E-2</v>
      </c>
      <c r="K7" s="39">
        <f t="shared" si="9"/>
        <v>4.6875E-2</v>
      </c>
      <c r="L7" s="39">
        <f t="shared" si="10"/>
        <v>0</v>
      </c>
      <c r="M7" s="41"/>
      <c r="N7" s="53"/>
      <c r="O7" s="53"/>
      <c r="P7" s="53"/>
      <c r="Q7" s="53"/>
    </row>
    <row r="8" spans="1:40" x14ac:dyDescent="0.35">
      <c r="A8" s="40"/>
      <c r="B8" s="40" t="s">
        <v>74</v>
      </c>
      <c r="C8" s="39">
        <f t="shared" si="2"/>
        <v>8.6956521739130436E-3</v>
      </c>
      <c r="D8" s="39">
        <f t="shared" si="11"/>
        <v>0</v>
      </c>
      <c r="E8" s="39">
        <f t="shared" si="3"/>
        <v>1</v>
      </c>
      <c r="F8" s="39">
        <f t="shared" si="4"/>
        <v>1</v>
      </c>
      <c r="G8" s="39">
        <f t="shared" si="5"/>
        <v>0</v>
      </c>
      <c r="H8" s="39">
        <f t="shared" si="6"/>
        <v>1</v>
      </c>
      <c r="I8" s="39">
        <f t="shared" si="7"/>
        <v>0</v>
      </c>
      <c r="J8" s="39">
        <f t="shared" si="8"/>
        <v>0</v>
      </c>
      <c r="K8" s="39">
        <f t="shared" si="9"/>
        <v>0</v>
      </c>
      <c r="L8" s="39">
        <f t="shared" si="10"/>
        <v>0</v>
      </c>
      <c r="M8" s="41"/>
      <c r="N8" s="53"/>
      <c r="O8" s="53"/>
      <c r="P8" s="53"/>
      <c r="Q8" s="53"/>
    </row>
    <row r="9" spans="1:40" x14ac:dyDescent="0.35">
      <c r="A9" s="42" t="s">
        <v>67</v>
      </c>
      <c r="B9" s="43" t="s">
        <v>11</v>
      </c>
      <c r="C9" s="44">
        <f>D9+E9</f>
        <v>9</v>
      </c>
      <c r="D9" s="45">
        <f>D16+D20+D24+D29</f>
        <v>4</v>
      </c>
      <c r="E9" s="45">
        <f t="shared" ref="E9:M9" si="12">E16+E20+E24+E29</f>
        <v>5</v>
      </c>
      <c r="F9" s="45">
        <f t="shared" si="12"/>
        <v>4</v>
      </c>
      <c r="G9" s="45">
        <f t="shared" si="12"/>
        <v>5</v>
      </c>
      <c r="H9" s="45">
        <f t="shared" si="12"/>
        <v>0</v>
      </c>
      <c r="I9" s="45">
        <f t="shared" si="12"/>
        <v>0</v>
      </c>
      <c r="J9" s="45">
        <f t="shared" si="12"/>
        <v>9</v>
      </c>
      <c r="K9" s="45">
        <f t="shared" si="12"/>
        <v>0</v>
      </c>
      <c r="L9" s="45">
        <f t="shared" si="12"/>
        <v>0</v>
      </c>
      <c r="M9" s="45">
        <f t="shared" si="12"/>
        <v>0</v>
      </c>
      <c r="N9" s="53"/>
      <c r="O9" s="53"/>
      <c r="P9" s="53"/>
      <c r="Q9" s="53"/>
    </row>
    <row r="10" spans="1:40" x14ac:dyDescent="0.35">
      <c r="A10" s="42"/>
      <c r="B10" s="43" t="s">
        <v>72</v>
      </c>
      <c r="C10" s="44">
        <f t="shared" ref="C10:C13" si="13">D10+E10</f>
        <v>0</v>
      </c>
      <c r="D10" s="45">
        <f t="shared" ref="D10:M12" si="14">D17+D21+D25+D30</f>
        <v>0</v>
      </c>
      <c r="E10" s="45">
        <f t="shared" si="14"/>
        <v>0</v>
      </c>
      <c r="F10" s="45">
        <f t="shared" si="14"/>
        <v>0</v>
      </c>
      <c r="G10" s="45">
        <f t="shared" si="14"/>
        <v>0</v>
      </c>
      <c r="H10" s="45">
        <f t="shared" si="14"/>
        <v>0</v>
      </c>
      <c r="I10" s="45">
        <f t="shared" si="14"/>
        <v>0</v>
      </c>
      <c r="J10" s="45">
        <f t="shared" si="14"/>
        <v>0</v>
      </c>
      <c r="K10" s="45">
        <f t="shared" si="14"/>
        <v>0</v>
      </c>
      <c r="L10" s="45">
        <f t="shared" si="14"/>
        <v>0</v>
      </c>
      <c r="M10" s="45">
        <f t="shared" si="14"/>
        <v>0</v>
      </c>
      <c r="N10" s="53"/>
      <c r="O10" s="53"/>
      <c r="P10" s="53"/>
      <c r="Q10" s="53"/>
    </row>
    <row r="11" spans="1:40" x14ac:dyDescent="0.35">
      <c r="A11" s="42"/>
      <c r="B11" s="43" t="s">
        <v>18</v>
      </c>
      <c r="C11" s="44">
        <f t="shared" si="13"/>
        <v>41</v>
      </c>
      <c r="D11" s="45">
        <f t="shared" si="14"/>
        <v>22</v>
      </c>
      <c r="E11" s="45">
        <f t="shared" si="14"/>
        <v>19</v>
      </c>
      <c r="F11" s="45">
        <f t="shared" si="14"/>
        <v>40</v>
      </c>
      <c r="G11" s="45">
        <f t="shared" si="14"/>
        <v>1</v>
      </c>
      <c r="H11" s="45">
        <f t="shared" si="14"/>
        <v>0</v>
      </c>
      <c r="I11" s="45">
        <f t="shared" si="14"/>
        <v>41</v>
      </c>
      <c r="J11" s="45">
        <f t="shared" si="14"/>
        <v>0</v>
      </c>
      <c r="K11" s="45">
        <f t="shared" si="14"/>
        <v>0</v>
      </c>
      <c r="L11" s="45">
        <f t="shared" si="14"/>
        <v>0</v>
      </c>
      <c r="M11" s="45">
        <f t="shared" si="14"/>
        <v>0</v>
      </c>
      <c r="N11" s="53"/>
      <c r="O11" s="53"/>
      <c r="P11" s="53"/>
      <c r="Q11" s="53"/>
    </row>
    <row r="12" spans="1:40" x14ac:dyDescent="0.35">
      <c r="A12" s="43"/>
      <c r="B12" s="43" t="s">
        <v>13</v>
      </c>
      <c r="C12" s="44">
        <f t="shared" si="13"/>
        <v>64</v>
      </c>
      <c r="D12" s="45">
        <f t="shared" si="14"/>
        <v>39</v>
      </c>
      <c r="E12" s="45">
        <f t="shared" si="14"/>
        <v>25</v>
      </c>
      <c r="F12" s="45">
        <f t="shared" si="14"/>
        <v>53</v>
      </c>
      <c r="G12" s="45">
        <f t="shared" si="14"/>
        <v>11</v>
      </c>
      <c r="H12" s="45">
        <f t="shared" si="14"/>
        <v>0</v>
      </c>
      <c r="I12" s="45">
        <f t="shared" si="14"/>
        <v>59</v>
      </c>
      <c r="J12" s="45">
        <f t="shared" si="14"/>
        <v>4</v>
      </c>
      <c r="K12" s="45">
        <f t="shared" si="14"/>
        <v>3</v>
      </c>
      <c r="L12" s="45">
        <f t="shared" si="14"/>
        <v>0</v>
      </c>
      <c r="M12" s="45">
        <f t="shared" si="14"/>
        <v>0</v>
      </c>
      <c r="N12" s="53"/>
      <c r="O12" s="53"/>
      <c r="P12" s="53"/>
      <c r="Q12" s="53"/>
    </row>
    <row r="13" spans="1:40" x14ac:dyDescent="0.35">
      <c r="A13" s="43"/>
      <c r="B13" s="43" t="s">
        <v>74</v>
      </c>
      <c r="C13" s="44">
        <f t="shared" si="13"/>
        <v>1</v>
      </c>
      <c r="D13" s="45">
        <f>D28+D33</f>
        <v>0</v>
      </c>
      <c r="E13" s="45">
        <f t="shared" ref="E13:M13" si="15">E28+E33</f>
        <v>1</v>
      </c>
      <c r="F13" s="45">
        <f t="shared" si="15"/>
        <v>1</v>
      </c>
      <c r="G13" s="45">
        <f t="shared" si="15"/>
        <v>0</v>
      </c>
      <c r="H13" s="45">
        <f t="shared" si="15"/>
        <v>1</v>
      </c>
      <c r="I13" s="45">
        <f t="shared" si="15"/>
        <v>0</v>
      </c>
      <c r="J13" s="45">
        <f t="shared" si="15"/>
        <v>0</v>
      </c>
      <c r="K13" s="45">
        <f t="shared" si="15"/>
        <v>0</v>
      </c>
      <c r="L13" s="45">
        <f t="shared" si="15"/>
        <v>0</v>
      </c>
      <c r="M13" s="45">
        <f t="shared" si="15"/>
        <v>0</v>
      </c>
      <c r="N13" s="53"/>
      <c r="O13" s="53"/>
      <c r="P13" s="53"/>
      <c r="Q13" s="53"/>
    </row>
    <row r="14" spans="1:40" x14ac:dyDescent="0.35">
      <c r="A14" s="13" t="s">
        <v>5</v>
      </c>
      <c r="B14" s="13"/>
      <c r="C14" s="50" t="s">
        <v>132</v>
      </c>
      <c r="D14" s="35" t="s">
        <v>3</v>
      </c>
      <c r="E14" s="35" t="s">
        <v>4</v>
      </c>
      <c r="F14" s="35" t="s">
        <v>10</v>
      </c>
      <c r="G14" s="35" t="s">
        <v>17</v>
      </c>
      <c r="H14" s="35" t="s">
        <v>19</v>
      </c>
      <c r="I14" s="35" t="s">
        <v>20</v>
      </c>
      <c r="J14" s="35" t="s">
        <v>21</v>
      </c>
      <c r="K14" s="35" t="s">
        <v>22</v>
      </c>
      <c r="L14" s="35" t="s">
        <v>23</v>
      </c>
      <c r="M14" s="35" t="s">
        <v>24</v>
      </c>
      <c r="N14" s="53"/>
      <c r="O14" s="53"/>
      <c r="P14" s="53"/>
      <c r="Q14" s="53"/>
    </row>
    <row r="15" spans="1:40" x14ac:dyDescent="0.35">
      <c r="A15" s="14">
        <f>C36/$N$54</f>
        <v>4.9586776859504134E-2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53"/>
      <c r="O15" s="53"/>
      <c r="P15" s="53"/>
      <c r="Q15" s="53"/>
    </row>
    <row r="16" spans="1:40" x14ac:dyDescent="0.35">
      <c r="A16" s="43" t="s">
        <v>6</v>
      </c>
      <c r="B16" s="43" t="s">
        <v>11</v>
      </c>
      <c r="C16" s="43" t="s">
        <v>131</v>
      </c>
      <c r="D16" s="43">
        <f>D37</f>
        <v>2</v>
      </c>
      <c r="E16" s="43">
        <f t="shared" ref="E16:M16" si="16">E37</f>
        <v>0</v>
      </c>
      <c r="F16" s="43">
        <f t="shared" si="16"/>
        <v>0</v>
      </c>
      <c r="G16" s="43">
        <f t="shared" si="16"/>
        <v>2</v>
      </c>
      <c r="H16" s="43">
        <f t="shared" si="16"/>
        <v>0</v>
      </c>
      <c r="I16" s="43">
        <f t="shared" si="16"/>
        <v>0</v>
      </c>
      <c r="J16" s="43">
        <f t="shared" si="16"/>
        <v>2</v>
      </c>
      <c r="K16" s="43">
        <f t="shared" si="16"/>
        <v>0</v>
      </c>
      <c r="L16" s="43">
        <f t="shared" si="16"/>
        <v>0</v>
      </c>
      <c r="M16" s="43">
        <f t="shared" si="16"/>
        <v>0</v>
      </c>
      <c r="N16" s="53"/>
      <c r="O16" s="53"/>
      <c r="P16" s="53"/>
      <c r="Q16" s="53"/>
    </row>
    <row r="17" spans="1:17" x14ac:dyDescent="0.35">
      <c r="A17" s="42">
        <f>(D37+E37+D38+E38+D39+E39+D40+E40)/N54</f>
        <v>0.15702479338842976</v>
      </c>
      <c r="B17" s="43" t="s">
        <v>72</v>
      </c>
      <c r="C17" s="43" t="s">
        <v>131</v>
      </c>
      <c r="D17" s="43">
        <f t="shared" ref="D17:M32" si="17">D38</f>
        <v>0</v>
      </c>
      <c r="E17" s="43">
        <f t="shared" si="17"/>
        <v>0</v>
      </c>
      <c r="F17" s="43">
        <f t="shared" si="17"/>
        <v>0</v>
      </c>
      <c r="G17" s="43">
        <f t="shared" si="17"/>
        <v>0</v>
      </c>
      <c r="H17" s="43">
        <f t="shared" si="17"/>
        <v>0</v>
      </c>
      <c r="I17" s="43">
        <f t="shared" si="17"/>
        <v>0</v>
      </c>
      <c r="J17" s="43">
        <f t="shared" si="17"/>
        <v>0</v>
      </c>
      <c r="K17" s="43">
        <f t="shared" si="17"/>
        <v>0</v>
      </c>
      <c r="L17" s="43">
        <f t="shared" si="17"/>
        <v>0</v>
      </c>
      <c r="M17" s="43">
        <f t="shared" si="17"/>
        <v>0</v>
      </c>
      <c r="N17" s="53"/>
      <c r="O17" s="53"/>
      <c r="P17" s="53"/>
      <c r="Q17" s="53"/>
    </row>
    <row r="18" spans="1:17" x14ac:dyDescent="0.35">
      <c r="A18" s="43"/>
      <c r="B18" s="43" t="s">
        <v>18</v>
      </c>
      <c r="C18" s="43" t="s">
        <v>131</v>
      </c>
      <c r="D18" s="43">
        <f t="shared" si="17"/>
        <v>0</v>
      </c>
      <c r="E18" s="43">
        <f t="shared" si="17"/>
        <v>2</v>
      </c>
      <c r="F18" s="43">
        <f t="shared" si="17"/>
        <v>2</v>
      </c>
      <c r="G18" s="43">
        <f t="shared" si="17"/>
        <v>0</v>
      </c>
      <c r="H18" s="43">
        <f t="shared" si="17"/>
        <v>0</v>
      </c>
      <c r="I18" s="43">
        <f t="shared" si="17"/>
        <v>2</v>
      </c>
      <c r="J18" s="43">
        <f t="shared" si="17"/>
        <v>0</v>
      </c>
      <c r="K18" s="43">
        <f t="shared" si="17"/>
        <v>0</v>
      </c>
      <c r="L18" s="43">
        <f t="shared" si="17"/>
        <v>0</v>
      </c>
      <c r="M18" s="43">
        <f t="shared" si="17"/>
        <v>0</v>
      </c>
      <c r="N18" s="53"/>
      <c r="O18" s="53"/>
      <c r="P18" s="53"/>
      <c r="Q18" s="53"/>
    </row>
    <row r="19" spans="1:17" x14ac:dyDescent="0.35">
      <c r="A19" s="43"/>
      <c r="B19" s="43" t="s">
        <v>13</v>
      </c>
      <c r="C19" s="43" t="s">
        <v>131</v>
      </c>
      <c r="D19" s="43">
        <f t="shared" si="17"/>
        <v>7</v>
      </c>
      <c r="E19" s="43">
        <f t="shared" si="17"/>
        <v>8</v>
      </c>
      <c r="F19" s="43">
        <f t="shared" si="17"/>
        <v>12</v>
      </c>
      <c r="G19" s="43">
        <f t="shared" si="17"/>
        <v>3</v>
      </c>
      <c r="H19" s="43">
        <f t="shared" si="17"/>
        <v>0</v>
      </c>
      <c r="I19" s="43">
        <f t="shared" si="17"/>
        <v>15</v>
      </c>
      <c r="J19" s="43">
        <f t="shared" si="17"/>
        <v>0</v>
      </c>
      <c r="K19" s="43">
        <f t="shared" si="17"/>
        <v>2</v>
      </c>
      <c r="L19" s="43">
        <f t="shared" si="17"/>
        <v>0</v>
      </c>
      <c r="M19" s="43">
        <f t="shared" si="17"/>
        <v>0</v>
      </c>
      <c r="N19" s="53"/>
      <c r="O19" s="53"/>
      <c r="P19" s="53"/>
      <c r="Q19" s="53"/>
    </row>
    <row r="20" spans="1:17" x14ac:dyDescent="0.35">
      <c r="A20" s="46" t="s">
        <v>7</v>
      </c>
      <c r="B20" s="46" t="s">
        <v>11</v>
      </c>
      <c r="C20" s="46" t="s">
        <v>131</v>
      </c>
      <c r="D20" s="46">
        <f t="shared" si="17"/>
        <v>0</v>
      </c>
      <c r="E20" s="46">
        <f t="shared" si="17"/>
        <v>0</v>
      </c>
      <c r="F20" s="46">
        <f t="shared" si="17"/>
        <v>0</v>
      </c>
      <c r="G20" s="46">
        <f t="shared" si="17"/>
        <v>0</v>
      </c>
      <c r="H20" s="46">
        <f t="shared" si="17"/>
        <v>0</v>
      </c>
      <c r="I20" s="46">
        <f t="shared" si="17"/>
        <v>0</v>
      </c>
      <c r="J20" s="46">
        <f t="shared" si="17"/>
        <v>0</v>
      </c>
      <c r="K20" s="46">
        <f t="shared" si="17"/>
        <v>0</v>
      </c>
      <c r="L20" s="46">
        <f t="shared" si="17"/>
        <v>0</v>
      </c>
      <c r="M20" s="46">
        <f t="shared" si="17"/>
        <v>0</v>
      </c>
      <c r="N20" s="53"/>
      <c r="O20" s="53"/>
      <c r="P20" s="53"/>
      <c r="Q20" s="53"/>
    </row>
    <row r="21" spans="1:17" x14ac:dyDescent="0.35">
      <c r="A21" s="47">
        <f>(D41+E41+D42+E42+D43+E43+D44+E44)/N54</f>
        <v>4.1322314049586778E-2</v>
      </c>
      <c r="B21" s="46" t="s">
        <v>72</v>
      </c>
      <c r="C21" s="46" t="s">
        <v>131</v>
      </c>
      <c r="D21" s="46">
        <f t="shared" si="17"/>
        <v>0</v>
      </c>
      <c r="E21" s="46">
        <f t="shared" si="17"/>
        <v>0</v>
      </c>
      <c r="F21" s="46">
        <f t="shared" si="17"/>
        <v>0</v>
      </c>
      <c r="G21" s="46">
        <f t="shared" si="17"/>
        <v>0</v>
      </c>
      <c r="H21" s="46">
        <f t="shared" si="17"/>
        <v>0</v>
      </c>
      <c r="I21" s="46">
        <f t="shared" si="17"/>
        <v>0</v>
      </c>
      <c r="J21" s="46">
        <f t="shared" si="17"/>
        <v>0</v>
      </c>
      <c r="K21" s="46">
        <f t="shared" si="17"/>
        <v>0</v>
      </c>
      <c r="L21" s="46">
        <f t="shared" si="17"/>
        <v>0</v>
      </c>
      <c r="M21" s="46">
        <f t="shared" si="17"/>
        <v>0</v>
      </c>
      <c r="N21" s="53"/>
      <c r="O21" s="53"/>
      <c r="P21" s="53"/>
      <c r="Q21" s="53"/>
    </row>
    <row r="22" spans="1:17" x14ac:dyDescent="0.35">
      <c r="A22" s="46"/>
      <c r="B22" s="46" t="s">
        <v>18</v>
      </c>
      <c r="C22" s="46" t="s">
        <v>131</v>
      </c>
      <c r="D22" s="46">
        <f t="shared" si="17"/>
        <v>2</v>
      </c>
      <c r="E22" s="46">
        <f t="shared" si="17"/>
        <v>0</v>
      </c>
      <c r="F22" s="46">
        <f t="shared" si="17"/>
        <v>2</v>
      </c>
      <c r="G22" s="46">
        <f t="shared" si="17"/>
        <v>0</v>
      </c>
      <c r="H22" s="46">
        <f t="shared" si="17"/>
        <v>0</v>
      </c>
      <c r="I22" s="46">
        <f t="shared" si="17"/>
        <v>2</v>
      </c>
      <c r="J22" s="46">
        <f t="shared" si="17"/>
        <v>0</v>
      </c>
      <c r="K22" s="46">
        <f t="shared" si="17"/>
        <v>0</v>
      </c>
      <c r="L22" s="46">
        <f t="shared" si="17"/>
        <v>0</v>
      </c>
      <c r="M22" s="46">
        <f t="shared" si="17"/>
        <v>0</v>
      </c>
      <c r="N22" s="53"/>
      <c r="O22" s="53"/>
      <c r="P22" s="53"/>
      <c r="Q22" s="53"/>
    </row>
    <row r="23" spans="1:17" x14ac:dyDescent="0.35">
      <c r="A23" s="46"/>
      <c r="B23" s="46" t="s">
        <v>13</v>
      </c>
      <c r="C23" s="46" t="s">
        <v>131</v>
      </c>
      <c r="D23" s="46">
        <f t="shared" si="17"/>
        <v>0</v>
      </c>
      <c r="E23" s="46">
        <f t="shared" si="17"/>
        <v>3</v>
      </c>
      <c r="F23" s="46">
        <f t="shared" si="17"/>
        <v>3</v>
      </c>
      <c r="G23" s="46">
        <f t="shared" si="17"/>
        <v>0</v>
      </c>
      <c r="H23" s="46">
        <f t="shared" si="17"/>
        <v>0</v>
      </c>
      <c r="I23" s="46">
        <f t="shared" si="17"/>
        <v>0</v>
      </c>
      <c r="J23" s="46">
        <f t="shared" si="17"/>
        <v>3</v>
      </c>
      <c r="K23" s="46">
        <f t="shared" si="17"/>
        <v>0</v>
      </c>
      <c r="L23" s="46">
        <f t="shared" si="17"/>
        <v>0</v>
      </c>
      <c r="M23" s="46">
        <f t="shared" si="17"/>
        <v>0</v>
      </c>
      <c r="N23" s="53"/>
      <c r="O23" s="53"/>
      <c r="P23" s="53"/>
      <c r="Q23" s="53"/>
    </row>
    <row r="24" spans="1:17" x14ac:dyDescent="0.35">
      <c r="A24" s="36" t="s">
        <v>8</v>
      </c>
      <c r="B24" s="36" t="s">
        <v>11</v>
      </c>
      <c r="C24" s="36" t="s">
        <v>131</v>
      </c>
      <c r="D24" s="36">
        <f t="shared" si="17"/>
        <v>2</v>
      </c>
      <c r="E24" s="36">
        <f t="shared" si="17"/>
        <v>5</v>
      </c>
      <c r="F24" s="36">
        <f t="shared" si="17"/>
        <v>4</v>
      </c>
      <c r="G24" s="36">
        <f t="shared" si="17"/>
        <v>3</v>
      </c>
      <c r="H24" s="36">
        <f t="shared" si="17"/>
        <v>0</v>
      </c>
      <c r="I24" s="36">
        <f t="shared" si="17"/>
        <v>0</v>
      </c>
      <c r="J24" s="36">
        <f t="shared" si="17"/>
        <v>7</v>
      </c>
      <c r="K24" s="36">
        <f t="shared" si="17"/>
        <v>0</v>
      </c>
      <c r="L24" s="36">
        <f t="shared" si="17"/>
        <v>0</v>
      </c>
      <c r="M24" s="36">
        <f t="shared" si="17"/>
        <v>0</v>
      </c>
      <c r="N24" s="53"/>
      <c r="O24" s="53"/>
      <c r="P24" s="53"/>
      <c r="Q24" s="53"/>
    </row>
    <row r="25" spans="1:17" x14ac:dyDescent="0.35">
      <c r="A25" s="37">
        <f>(D45+E45+D46+E46+D47+E47+D48+E48+D49+E49)/$N$54</f>
        <v>0.62809917355371903</v>
      </c>
      <c r="B25" s="36" t="s">
        <v>72</v>
      </c>
      <c r="C25" s="36" t="s">
        <v>131</v>
      </c>
      <c r="D25" s="36">
        <f t="shared" si="17"/>
        <v>0</v>
      </c>
      <c r="E25" s="36">
        <f t="shared" si="17"/>
        <v>0</v>
      </c>
      <c r="F25" s="36">
        <f t="shared" si="17"/>
        <v>0</v>
      </c>
      <c r="G25" s="36">
        <f t="shared" si="17"/>
        <v>0</v>
      </c>
      <c r="H25" s="36">
        <f t="shared" si="17"/>
        <v>0</v>
      </c>
      <c r="I25" s="36">
        <f t="shared" si="17"/>
        <v>0</v>
      </c>
      <c r="J25" s="36">
        <f t="shared" si="17"/>
        <v>0</v>
      </c>
      <c r="K25" s="36">
        <f t="shared" si="17"/>
        <v>0</v>
      </c>
      <c r="L25" s="36">
        <f t="shared" si="17"/>
        <v>0</v>
      </c>
      <c r="M25" s="36">
        <f t="shared" si="17"/>
        <v>0</v>
      </c>
      <c r="N25" s="53"/>
      <c r="O25" s="53"/>
      <c r="P25" s="53"/>
      <c r="Q25" s="53"/>
    </row>
    <row r="26" spans="1:17" x14ac:dyDescent="0.35">
      <c r="A26" s="36"/>
      <c r="B26" s="36" t="s">
        <v>18</v>
      </c>
      <c r="C26" s="36" t="s">
        <v>131</v>
      </c>
      <c r="D26" s="36">
        <f t="shared" si="17"/>
        <v>17</v>
      </c>
      <c r="E26" s="36">
        <f t="shared" si="17"/>
        <v>14</v>
      </c>
      <c r="F26" s="36">
        <f t="shared" si="17"/>
        <v>30</v>
      </c>
      <c r="G26" s="36">
        <f t="shared" si="17"/>
        <v>1</v>
      </c>
      <c r="H26" s="36">
        <f t="shared" si="17"/>
        <v>0</v>
      </c>
      <c r="I26" s="36">
        <f t="shared" si="17"/>
        <v>31</v>
      </c>
      <c r="J26" s="36">
        <f t="shared" si="17"/>
        <v>0</v>
      </c>
      <c r="K26" s="36">
        <f t="shared" si="17"/>
        <v>0</v>
      </c>
      <c r="L26" s="36">
        <f t="shared" si="17"/>
        <v>0</v>
      </c>
      <c r="M26" s="36">
        <f t="shared" si="17"/>
        <v>0</v>
      </c>
      <c r="N26" s="53"/>
      <c r="O26" s="53"/>
      <c r="P26" s="53"/>
      <c r="Q26" s="53"/>
    </row>
    <row r="27" spans="1:17" x14ac:dyDescent="0.35">
      <c r="A27" s="36"/>
      <c r="B27" s="36" t="s">
        <v>13</v>
      </c>
      <c r="C27" s="36" t="s">
        <v>131</v>
      </c>
      <c r="D27" s="36">
        <f t="shared" si="17"/>
        <v>28</v>
      </c>
      <c r="E27" s="36">
        <f t="shared" si="17"/>
        <v>9</v>
      </c>
      <c r="F27" s="36">
        <f t="shared" si="17"/>
        <v>29</v>
      </c>
      <c r="G27" s="36">
        <f t="shared" si="17"/>
        <v>8</v>
      </c>
      <c r="H27" s="36">
        <f t="shared" si="17"/>
        <v>0</v>
      </c>
      <c r="I27" s="36">
        <f t="shared" si="17"/>
        <v>35</v>
      </c>
      <c r="J27" s="36">
        <f t="shared" si="17"/>
        <v>1</v>
      </c>
      <c r="K27" s="36">
        <f t="shared" si="17"/>
        <v>1</v>
      </c>
      <c r="L27" s="36">
        <f t="shared" si="17"/>
        <v>0</v>
      </c>
      <c r="M27" s="36">
        <f t="shared" si="17"/>
        <v>0</v>
      </c>
      <c r="N27" s="53"/>
      <c r="O27" s="53"/>
      <c r="P27" s="53"/>
      <c r="Q27" s="53"/>
    </row>
    <row r="28" spans="1:17" x14ac:dyDescent="0.35">
      <c r="A28" s="36"/>
      <c r="B28" s="36" t="s">
        <v>74</v>
      </c>
      <c r="C28" s="36" t="s">
        <v>131</v>
      </c>
      <c r="D28" s="36">
        <f t="shared" si="17"/>
        <v>0</v>
      </c>
      <c r="E28" s="36">
        <f t="shared" si="17"/>
        <v>1</v>
      </c>
      <c r="F28" s="36">
        <f t="shared" si="17"/>
        <v>1</v>
      </c>
      <c r="G28" s="36">
        <f t="shared" si="17"/>
        <v>0</v>
      </c>
      <c r="H28" s="36">
        <f t="shared" si="17"/>
        <v>1</v>
      </c>
      <c r="I28" s="36">
        <f t="shared" si="17"/>
        <v>0</v>
      </c>
      <c r="J28" s="36">
        <f t="shared" si="17"/>
        <v>0</v>
      </c>
      <c r="K28" s="36">
        <f t="shared" si="17"/>
        <v>0</v>
      </c>
      <c r="L28" s="36">
        <f t="shared" si="17"/>
        <v>0</v>
      </c>
      <c r="M28" s="36">
        <f t="shared" si="17"/>
        <v>0</v>
      </c>
      <c r="N28" s="53"/>
      <c r="O28" s="53"/>
      <c r="P28" s="53"/>
      <c r="Q28" s="53"/>
    </row>
    <row r="29" spans="1:17" x14ac:dyDescent="0.35">
      <c r="A29" s="48" t="s">
        <v>9</v>
      </c>
      <c r="B29" s="48" t="s">
        <v>11</v>
      </c>
      <c r="C29" s="48" t="s">
        <v>131</v>
      </c>
      <c r="D29" s="48">
        <f t="shared" si="17"/>
        <v>0</v>
      </c>
      <c r="E29" s="48">
        <f t="shared" si="17"/>
        <v>0</v>
      </c>
      <c r="F29" s="48">
        <f t="shared" si="17"/>
        <v>0</v>
      </c>
      <c r="G29" s="48">
        <f t="shared" si="17"/>
        <v>0</v>
      </c>
      <c r="H29" s="48">
        <f t="shared" si="17"/>
        <v>0</v>
      </c>
      <c r="I29" s="48">
        <f t="shared" si="17"/>
        <v>0</v>
      </c>
      <c r="J29" s="48">
        <f t="shared" si="17"/>
        <v>0</v>
      </c>
      <c r="K29" s="48">
        <f t="shared" si="17"/>
        <v>0</v>
      </c>
      <c r="L29" s="48">
        <f t="shared" si="17"/>
        <v>0</v>
      </c>
      <c r="M29" s="48">
        <f t="shared" si="17"/>
        <v>0</v>
      </c>
      <c r="N29" s="53"/>
      <c r="O29" s="53"/>
      <c r="P29" s="53"/>
      <c r="Q29" s="53"/>
    </row>
    <row r="30" spans="1:17" x14ac:dyDescent="0.35">
      <c r="A30" s="49">
        <f>(D50+E50+D51+E51+D52+E52+D52+E52+D53+E53+D54+E54)/$N$54</f>
        <v>0.17355371900826447</v>
      </c>
      <c r="B30" s="48" t="s">
        <v>72</v>
      </c>
      <c r="C30" s="48" t="s">
        <v>131</v>
      </c>
      <c r="D30" s="48">
        <f t="shared" si="17"/>
        <v>0</v>
      </c>
      <c r="E30" s="48">
        <f t="shared" si="17"/>
        <v>0</v>
      </c>
      <c r="F30" s="48">
        <f t="shared" si="17"/>
        <v>0</v>
      </c>
      <c r="G30" s="48">
        <f t="shared" si="17"/>
        <v>0</v>
      </c>
      <c r="H30" s="48">
        <f t="shared" si="17"/>
        <v>0</v>
      </c>
      <c r="I30" s="48">
        <f t="shared" si="17"/>
        <v>0</v>
      </c>
      <c r="J30" s="48">
        <f t="shared" si="17"/>
        <v>0</v>
      </c>
      <c r="K30" s="48">
        <f t="shared" si="17"/>
        <v>0</v>
      </c>
      <c r="L30" s="48">
        <f t="shared" si="17"/>
        <v>0</v>
      </c>
      <c r="M30" s="48">
        <f t="shared" si="17"/>
        <v>0</v>
      </c>
      <c r="N30" s="53"/>
      <c r="O30" s="53"/>
      <c r="P30" s="53"/>
      <c r="Q30" s="53"/>
    </row>
    <row r="31" spans="1:17" x14ac:dyDescent="0.35">
      <c r="A31" s="48"/>
      <c r="B31" s="48" t="s">
        <v>18</v>
      </c>
      <c r="C31" s="48" t="s">
        <v>131</v>
      </c>
      <c r="D31" s="48">
        <f t="shared" si="17"/>
        <v>3</v>
      </c>
      <c r="E31" s="48">
        <f t="shared" si="17"/>
        <v>3</v>
      </c>
      <c r="F31" s="48">
        <f t="shared" si="17"/>
        <v>6</v>
      </c>
      <c r="G31" s="48">
        <f t="shared" si="17"/>
        <v>0</v>
      </c>
      <c r="H31" s="48">
        <f t="shared" si="17"/>
        <v>0</v>
      </c>
      <c r="I31" s="48">
        <f t="shared" si="17"/>
        <v>6</v>
      </c>
      <c r="J31" s="48">
        <f t="shared" si="17"/>
        <v>0</v>
      </c>
      <c r="K31" s="48">
        <f t="shared" si="17"/>
        <v>0</v>
      </c>
      <c r="L31" s="48">
        <f t="shared" si="17"/>
        <v>0</v>
      </c>
      <c r="M31" s="48">
        <f t="shared" si="17"/>
        <v>0</v>
      </c>
      <c r="N31" s="53"/>
      <c r="O31" s="53"/>
      <c r="P31" s="53"/>
      <c r="Q31" s="53"/>
    </row>
    <row r="32" spans="1:17" x14ac:dyDescent="0.35">
      <c r="A32" s="48"/>
      <c r="B32" s="48" t="s">
        <v>13</v>
      </c>
      <c r="C32" s="48" t="s">
        <v>131</v>
      </c>
      <c r="D32" s="48">
        <f t="shared" si="17"/>
        <v>4</v>
      </c>
      <c r="E32" s="48">
        <f t="shared" si="17"/>
        <v>5</v>
      </c>
      <c r="F32" s="48">
        <f t="shared" si="17"/>
        <v>9</v>
      </c>
      <c r="G32" s="48">
        <f t="shared" si="17"/>
        <v>0</v>
      </c>
      <c r="H32" s="48">
        <f t="shared" si="17"/>
        <v>0</v>
      </c>
      <c r="I32" s="48">
        <f t="shared" si="17"/>
        <v>9</v>
      </c>
      <c r="J32" s="48">
        <f t="shared" si="17"/>
        <v>0</v>
      </c>
      <c r="K32" s="48">
        <f t="shared" si="17"/>
        <v>0</v>
      </c>
      <c r="L32" s="48">
        <f t="shared" si="17"/>
        <v>0</v>
      </c>
      <c r="M32" s="48">
        <f t="shared" si="17"/>
        <v>0</v>
      </c>
      <c r="N32" s="53"/>
      <c r="O32" s="53"/>
      <c r="P32" s="53"/>
      <c r="Q32" s="53"/>
    </row>
    <row r="33" spans="1:27" ht="15" thickBot="1" x14ac:dyDescent="0.4">
      <c r="A33" s="48"/>
      <c r="B33" s="48" t="s">
        <v>74</v>
      </c>
      <c r="C33" s="48" t="s">
        <v>131</v>
      </c>
      <c r="D33" s="48">
        <f t="shared" ref="D33:M33" si="18">D54</f>
        <v>0</v>
      </c>
      <c r="E33" s="48">
        <f t="shared" si="18"/>
        <v>0</v>
      </c>
      <c r="F33" s="48">
        <f t="shared" si="18"/>
        <v>0</v>
      </c>
      <c r="G33" s="48">
        <f t="shared" si="18"/>
        <v>0</v>
      </c>
      <c r="H33" s="48">
        <f t="shared" si="18"/>
        <v>0</v>
      </c>
      <c r="I33" s="48">
        <f t="shared" si="18"/>
        <v>0</v>
      </c>
      <c r="J33" s="48">
        <f t="shared" si="18"/>
        <v>0</v>
      </c>
      <c r="K33" s="48">
        <f t="shared" si="18"/>
        <v>0</v>
      </c>
      <c r="L33" s="48">
        <f t="shared" si="18"/>
        <v>0</v>
      </c>
      <c r="M33" s="48">
        <f t="shared" si="18"/>
        <v>0</v>
      </c>
      <c r="N33" s="53"/>
      <c r="O33" s="53"/>
      <c r="P33" s="53"/>
      <c r="Q33" s="53"/>
    </row>
    <row r="34" spans="1:27" ht="15" thickBot="1" x14ac:dyDescent="0.4">
      <c r="S34" s="91" t="s">
        <v>121</v>
      </c>
      <c r="T34" s="92"/>
      <c r="U34" s="92"/>
      <c r="V34" s="92"/>
      <c r="W34" s="92"/>
      <c r="X34" s="92"/>
      <c r="Y34" s="92"/>
      <c r="Z34" s="92"/>
      <c r="AA34" s="93"/>
    </row>
    <row r="35" spans="1:27" ht="61.5" customHeight="1" x14ac:dyDescent="0.35">
      <c r="A35" s="58" t="s">
        <v>135</v>
      </c>
      <c r="B35" s="1"/>
      <c r="C35" s="1"/>
      <c r="D35" s="1" t="s">
        <v>3</v>
      </c>
      <c r="E35" s="1" t="s">
        <v>4</v>
      </c>
      <c r="F35" s="1" t="s">
        <v>10</v>
      </c>
      <c r="G35" s="1" t="s">
        <v>17</v>
      </c>
      <c r="H35" s="1" t="s">
        <v>19</v>
      </c>
      <c r="I35" s="1" t="s">
        <v>20</v>
      </c>
      <c r="J35" s="1" t="s">
        <v>21</v>
      </c>
      <c r="K35" s="1" t="s">
        <v>22</v>
      </c>
      <c r="L35" s="1" t="s">
        <v>23</v>
      </c>
      <c r="M35" s="1" t="s">
        <v>24</v>
      </c>
      <c r="N35" s="10" t="s">
        <v>134</v>
      </c>
      <c r="O35" s="1"/>
      <c r="S35" s="22" t="s">
        <v>49</v>
      </c>
      <c r="T35" s="23" t="s">
        <v>51</v>
      </c>
      <c r="U35" s="23" t="s">
        <v>52</v>
      </c>
      <c r="V35" s="23" t="s">
        <v>53</v>
      </c>
      <c r="W35" s="23" t="s">
        <v>54</v>
      </c>
      <c r="X35" s="23" t="s">
        <v>55</v>
      </c>
      <c r="Y35" s="30" t="s">
        <v>56</v>
      </c>
      <c r="Z35" s="23" t="s">
        <v>57</v>
      </c>
      <c r="AA35" s="24" t="s">
        <v>58</v>
      </c>
    </row>
    <row r="36" spans="1:27" x14ac:dyDescent="0.35">
      <c r="A36" s="1" t="s">
        <v>5</v>
      </c>
      <c r="B36" s="1"/>
      <c r="C36" s="9">
        <f>(D57+E57+D78+E78+D99+D120+E120+D141+E141+D162+E162+D183+E183+D204+E204)</f>
        <v>6</v>
      </c>
      <c r="D36" s="9"/>
      <c r="E36" s="1"/>
      <c r="F36" s="1"/>
      <c r="G36" s="1"/>
      <c r="H36" s="1"/>
      <c r="I36" s="1"/>
      <c r="J36" s="1"/>
      <c r="K36" s="1"/>
      <c r="L36" s="1"/>
      <c r="M36" s="1"/>
      <c r="N36" s="1">
        <f>(N57+N78+N99+N120+N141+N162+N183+N204)</f>
        <v>59</v>
      </c>
      <c r="O36" s="1" t="s">
        <v>43</v>
      </c>
      <c r="R36" s="17"/>
      <c r="S36" s="61" t="s">
        <v>60</v>
      </c>
      <c r="T36" s="1" t="s">
        <v>59</v>
      </c>
      <c r="U36" s="1" t="s">
        <v>59</v>
      </c>
      <c r="V36" s="1" t="s">
        <v>59</v>
      </c>
      <c r="W36" s="1" t="s">
        <v>59</v>
      </c>
      <c r="X36" s="1" t="s">
        <v>83</v>
      </c>
      <c r="Y36" s="31" t="s">
        <v>59</v>
      </c>
      <c r="Z36" s="1" t="s">
        <v>60</v>
      </c>
      <c r="AA36" s="26" t="s">
        <v>61</v>
      </c>
    </row>
    <row r="37" spans="1:27" x14ac:dyDescent="0.35">
      <c r="A37" s="1" t="s">
        <v>6</v>
      </c>
      <c r="B37" s="1" t="s">
        <v>11</v>
      </c>
      <c r="C37" s="1"/>
      <c r="D37" s="1">
        <f>(D58+D79+D100+D121+D142+D163+D184+D205)</f>
        <v>2</v>
      </c>
      <c r="E37" s="1">
        <f t="shared" ref="E37:M37" si="19">(E58+E79+E100+E121+E142+E163+E184+E205)</f>
        <v>0</v>
      </c>
      <c r="F37" s="1">
        <f t="shared" si="19"/>
        <v>0</v>
      </c>
      <c r="G37" s="1">
        <f t="shared" si="19"/>
        <v>2</v>
      </c>
      <c r="H37" s="1">
        <f t="shared" si="19"/>
        <v>0</v>
      </c>
      <c r="I37" s="1">
        <f t="shared" si="19"/>
        <v>0</v>
      </c>
      <c r="J37" s="1">
        <f t="shared" si="19"/>
        <v>2</v>
      </c>
      <c r="K37" s="1">
        <f t="shared" si="19"/>
        <v>0</v>
      </c>
      <c r="L37" s="1">
        <f t="shared" si="19"/>
        <v>0</v>
      </c>
      <c r="M37" s="1">
        <f t="shared" si="19"/>
        <v>0</v>
      </c>
      <c r="N37" s="1">
        <f>MIN(N58,N79,N100,N121,N142,N163,N184,N205)</f>
        <v>2</v>
      </c>
      <c r="O37" s="1" t="s">
        <v>44</v>
      </c>
      <c r="R37" s="17"/>
      <c r="S37" s="61" t="s">
        <v>60</v>
      </c>
      <c r="T37" s="1" t="s">
        <v>59</v>
      </c>
      <c r="U37" s="1" t="s">
        <v>59</v>
      </c>
      <c r="V37" s="1" t="s">
        <v>59</v>
      </c>
      <c r="W37" s="1" t="s">
        <v>59</v>
      </c>
      <c r="X37" s="1" t="s">
        <v>83</v>
      </c>
      <c r="Y37" s="31" t="s">
        <v>59</v>
      </c>
      <c r="Z37" s="1" t="s">
        <v>60</v>
      </c>
      <c r="AA37" s="26" t="s">
        <v>61</v>
      </c>
    </row>
    <row r="38" spans="1:27" x14ac:dyDescent="0.35">
      <c r="A38" s="1"/>
      <c r="B38" s="1" t="s">
        <v>72</v>
      </c>
      <c r="C38" s="1"/>
      <c r="D38" s="1">
        <f t="shared" ref="D38:M53" si="20">(D59+D80+D101+D122+D143+D164+D185+D206)</f>
        <v>0</v>
      </c>
      <c r="E38" s="1">
        <f t="shared" si="20"/>
        <v>0</v>
      </c>
      <c r="F38" s="1">
        <f t="shared" si="20"/>
        <v>0</v>
      </c>
      <c r="G38" s="1">
        <f t="shared" si="20"/>
        <v>0</v>
      </c>
      <c r="H38" s="1">
        <f t="shared" si="20"/>
        <v>0</v>
      </c>
      <c r="I38" s="1">
        <f t="shared" si="20"/>
        <v>0</v>
      </c>
      <c r="J38" s="1">
        <f t="shared" si="20"/>
        <v>0</v>
      </c>
      <c r="K38" s="1">
        <f t="shared" si="20"/>
        <v>0</v>
      </c>
      <c r="L38" s="1">
        <f t="shared" si="20"/>
        <v>0</v>
      </c>
      <c r="M38" s="1">
        <f t="shared" si="20"/>
        <v>0</v>
      </c>
      <c r="N38" s="1">
        <f>MAX(N59,N80,N101,N122,N143,N164,N185,N206)</f>
        <v>8</v>
      </c>
      <c r="O38" s="1" t="s">
        <v>45</v>
      </c>
      <c r="R38" s="17"/>
      <c r="S38" s="61" t="s">
        <v>60</v>
      </c>
      <c r="T38" s="1" t="s">
        <v>59</v>
      </c>
      <c r="U38" s="1" t="s">
        <v>59</v>
      </c>
      <c r="V38" s="1" t="s">
        <v>59</v>
      </c>
      <c r="W38" s="1" t="s">
        <v>59</v>
      </c>
      <c r="X38" s="1" t="s">
        <v>83</v>
      </c>
      <c r="Y38" s="31" t="s">
        <v>59</v>
      </c>
      <c r="Z38" s="1" t="s">
        <v>60</v>
      </c>
      <c r="AA38" s="26" t="s">
        <v>61</v>
      </c>
    </row>
    <row r="39" spans="1:27" x14ac:dyDescent="0.35">
      <c r="A39" s="1"/>
      <c r="B39" s="1" t="s">
        <v>18</v>
      </c>
      <c r="C39" s="1"/>
      <c r="D39" s="1">
        <f t="shared" si="20"/>
        <v>0</v>
      </c>
      <c r="E39" s="1">
        <f t="shared" si="20"/>
        <v>2</v>
      </c>
      <c r="F39" s="1">
        <f t="shared" si="20"/>
        <v>2</v>
      </c>
      <c r="G39" s="1">
        <f t="shared" si="20"/>
        <v>0</v>
      </c>
      <c r="H39" s="1">
        <f t="shared" si="20"/>
        <v>0</v>
      </c>
      <c r="I39" s="1">
        <f t="shared" si="20"/>
        <v>2</v>
      </c>
      <c r="J39" s="1">
        <f t="shared" si="20"/>
        <v>0</v>
      </c>
      <c r="K39" s="1">
        <f t="shared" si="20"/>
        <v>0</v>
      </c>
      <c r="L39" s="1">
        <f t="shared" si="20"/>
        <v>0</v>
      </c>
      <c r="M39" s="1">
        <f t="shared" si="20"/>
        <v>0</v>
      </c>
      <c r="N39" s="1">
        <f>AVERAGE(N60,N81,N102,N123,N144,N165,N186,N207)</f>
        <v>3.4916666666666667</v>
      </c>
      <c r="O39" s="1" t="s">
        <v>46</v>
      </c>
      <c r="R39" s="17"/>
      <c r="S39" s="61" t="s">
        <v>60</v>
      </c>
      <c r="T39" s="1" t="s">
        <v>59</v>
      </c>
      <c r="U39" s="1" t="s">
        <v>59</v>
      </c>
      <c r="V39" s="1" t="s">
        <v>59</v>
      </c>
      <c r="W39" s="1" t="s">
        <v>59</v>
      </c>
      <c r="X39" s="1" t="s">
        <v>83</v>
      </c>
      <c r="Y39" s="31" t="s">
        <v>59</v>
      </c>
      <c r="Z39" s="1" t="s">
        <v>60</v>
      </c>
      <c r="AA39" s="26" t="s">
        <v>61</v>
      </c>
    </row>
    <row r="40" spans="1:27" x14ac:dyDescent="0.35">
      <c r="A40" s="1"/>
      <c r="B40" s="1" t="s">
        <v>13</v>
      </c>
      <c r="C40" s="1"/>
      <c r="D40" s="1">
        <f t="shared" si="20"/>
        <v>7</v>
      </c>
      <c r="E40" s="1">
        <f t="shared" si="20"/>
        <v>8</v>
      </c>
      <c r="F40" s="1">
        <f t="shared" si="20"/>
        <v>12</v>
      </c>
      <c r="G40" s="1">
        <f t="shared" si="20"/>
        <v>3</v>
      </c>
      <c r="H40" s="1">
        <f t="shared" si="20"/>
        <v>0</v>
      </c>
      <c r="I40" s="1">
        <f t="shared" si="20"/>
        <v>15</v>
      </c>
      <c r="J40" s="1">
        <f t="shared" si="20"/>
        <v>0</v>
      </c>
      <c r="K40" s="1">
        <f t="shared" si="20"/>
        <v>2</v>
      </c>
      <c r="L40" s="1">
        <f t="shared" si="20"/>
        <v>0</v>
      </c>
      <c r="M40" s="1">
        <f t="shared" si="20"/>
        <v>0</v>
      </c>
      <c r="R40" s="17"/>
      <c r="S40" s="61" t="s">
        <v>60</v>
      </c>
      <c r="T40" s="1" t="s">
        <v>59</v>
      </c>
      <c r="U40" s="1" t="s">
        <v>59</v>
      </c>
      <c r="V40" s="1" t="s">
        <v>59</v>
      </c>
      <c r="W40" s="1" t="s">
        <v>59</v>
      </c>
      <c r="X40" s="1" t="s">
        <v>83</v>
      </c>
      <c r="Y40" s="31" t="s">
        <v>59</v>
      </c>
      <c r="Z40" s="1" t="s">
        <v>60</v>
      </c>
      <c r="AA40" s="26" t="s">
        <v>61</v>
      </c>
    </row>
    <row r="41" spans="1:27" ht="15" thickBot="1" x14ac:dyDescent="0.4">
      <c r="A41" s="1" t="s">
        <v>7</v>
      </c>
      <c r="B41" s="1" t="s">
        <v>11</v>
      </c>
      <c r="C41" s="1"/>
      <c r="D41" s="1">
        <f t="shared" si="20"/>
        <v>0</v>
      </c>
      <c r="E41" s="1">
        <f t="shared" si="20"/>
        <v>0</v>
      </c>
      <c r="F41" s="1">
        <f t="shared" si="20"/>
        <v>0</v>
      </c>
      <c r="G41" s="1">
        <f t="shared" si="20"/>
        <v>0</v>
      </c>
      <c r="H41" s="1">
        <f t="shared" si="20"/>
        <v>0</v>
      </c>
      <c r="I41" s="1">
        <f t="shared" si="20"/>
        <v>0</v>
      </c>
      <c r="J41" s="1">
        <f t="shared" si="20"/>
        <v>0</v>
      </c>
      <c r="K41" s="1">
        <f t="shared" si="20"/>
        <v>0</v>
      </c>
      <c r="L41" s="1">
        <f t="shared" si="20"/>
        <v>0</v>
      </c>
      <c r="M41" s="1">
        <f t="shared" si="20"/>
        <v>0</v>
      </c>
      <c r="R41" s="17"/>
      <c r="S41" s="62" t="s">
        <v>60</v>
      </c>
      <c r="T41" s="28" t="s">
        <v>59</v>
      </c>
      <c r="U41" s="28" t="s">
        <v>59</v>
      </c>
      <c r="V41" s="28" t="s">
        <v>59</v>
      </c>
      <c r="W41" s="28" t="s">
        <v>59</v>
      </c>
      <c r="X41" s="28" t="s">
        <v>83</v>
      </c>
      <c r="Y41" s="33" t="s">
        <v>59</v>
      </c>
      <c r="Z41" s="28" t="s">
        <v>60</v>
      </c>
      <c r="AA41" s="29" t="s">
        <v>61</v>
      </c>
    </row>
    <row r="42" spans="1:27" x14ac:dyDescent="0.35">
      <c r="A42" s="1"/>
      <c r="B42" s="1" t="s">
        <v>72</v>
      </c>
      <c r="C42" s="1"/>
      <c r="D42" s="1">
        <f t="shared" si="20"/>
        <v>0</v>
      </c>
      <c r="E42" s="1">
        <f t="shared" si="20"/>
        <v>0</v>
      </c>
      <c r="F42" s="1">
        <f t="shared" si="20"/>
        <v>0</v>
      </c>
      <c r="G42" s="1">
        <f t="shared" si="20"/>
        <v>0</v>
      </c>
      <c r="H42" s="1">
        <f t="shared" si="20"/>
        <v>0</v>
      </c>
      <c r="I42" s="1">
        <f t="shared" si="20"/>
        <v>0</v>
      </c>
      <c r="J42" s="1">
        <f t="shared" si="20"/>
        <v>0</v>
      </c>
      <c r="K42" s="1">
        <f t="shared" si="20"/>
        <v>0</v>
      </c>
      <c r="L42" s="1">
        <f t="shared" si="20"/>
        <v>0</v>
      </c>
      <c r="M42" s="1">
        <f t="shared" si="20"/>
        <v>0</v>
      </c>
      <c r="R42" s="17"/>
    </row>
    <row r="43" spans="1:27" x14ac:dyDescent="0.35">
      <c r="A43" s="1"/>
      <c r="B43" s="1" t="s">
        <v>18</v>
      </c>
      <c r="C43" s="1"/>
      <c r="D43" s="1">
        <f t="shared" si="20"/>
        <v>2</v>
      </c>
      <c r="E43" s="1">
        <f t="shared" si="20"/>
        <v>0</v>
      </c>
      <c r="F43" s="1">
        <f t="shared" si="20"/>
        <v>2</v>
      </c>
      <c r="G43" s="1">
        <f t="shared" si="20"/>
        <v>0</v>
      </c>
      <c r="H43" s="1">
        <f t="shared" si="20"/>
        <v>0</v>
      </c>
      <c r="I43" s="1">
        <f t="shared" si="20"/>
        <v>2</v>
      </c>
      <c r="J43" s="1">
        <f t="shared" si="20"/>
        <v>0</v>
      </c>
      <c r="K43" s="1">
        <f t="shared" si="20"/>
        <v>0</v>
      </c>
      <c r="L43" s="1">
        <f t="shared" si="20"/>
        <v>0</v>
      </c>
      <c r="M43" s="1">
        <f t="shared" si="20"/>
        <v>0</v>
      </c>
    </row>
    <row r="44" spans="1:27" x14ac:dyDescent="0.35">
      <c r="A44" s="1"/>
      <c r="B44" s="1" t="s">
        <v>13</v>
      </c>
      <c r="C44" s="1"/>
      <c r="D44" s="1">
        <f t="shared" si="20"/>
        <v>0</v>
      </c>
      <c r="E44" s="1">
        <f t="shared" si="20"/>
        <v>3</v>
      </c>
      <c r="F44" s="1">
        <f t="shared" si="20"/>
        <v>3</v>
      </c>
      <c r="G44" s="1">
        <f t="shared" si="20"/>
        <v>0</v>
      </c>
      <c r="H44" s="1">
        <f t="shared" si="20"/>
        <v>0</v>
      </c>
      <c r="I44" s="1">
        <f t="shared" si="20"/>
        <v>0</v>
      </c>
      <c r="J44" s="1">
        <f t="shared" si="20"/>
        <v>3</v>
      </c>
      <c r="K44" s="1">
        <f t="shared" si="20"/>
        <v>0</v>
      </c>
      <c r="L44" s="1">
        <f t="shared" si="20"/>
        <v>0</v>
      </c>
      <c r="M44" s="1">
        <f t="shared" si="20"/>
        <v>0</v>
      </c>
    </row>
    <row r="45" spans="1:27" x14ac:dyDescent="0.35">
      <c r="A45" s="1" t="s">
        <v>8</v>
      </c>
      <c r="B45" s="1" t="s">
        <v>11</v>
      </c>
      <c r="C45" s="1"/>
      <c r="D45" s="1">
        <f t="shared" si="20"/>
        <v>2</v>
      </c>
      <c r="E45" s="1">
        <f t="shared" si="20"/>
        <v>5</v>
      </c>
      <c r="F45" s="1">
        <f t="shared" si="20"/>
        <v>4</v>
      </c>
      <c r="G45" s="1">
        <f t="shared" si="20"/>
        <v>3</v>
      </c>
      <c r="H45" s="1">
        <f t="shared" si="20"/>
        <v>0</v>
      </c>
      <c r="I45" s="1">
        <f t="shared" si="20"/>
        <v>0</v>
      </c>
      <c r="J45" s="1">
        <f t="shared" si="20"/>
        <v>7</v>
      </c>
      <c r="K45" s="1">
        <f t="shared" si="20"/>
        <v>0</v>
      </c>
      <c r="L45" s="1">
        <f t="shared" si="20"/>
        <v>0</v>
      </c>
      <c r="M45" s="1">
        <f t="shared" si="20"/>
        <v>0</v>
      </c>
    </row>
    <row r="46" spans="1:27" x14ac:dyDescent="0.35">
      <c r="A46" s="1"/>
      <c r="B46" s="1" t="s">
        <v>72</v>
      </c>
      <c r="C46" s="1"/>
      <c r="D46" s="1">
        <f t="shared" si="20"/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</row>
    <row r="47" spans="1:27" x14ac:dyDescent="0.35">
      <c r="A47" s="1"/>
      <c r="B47" s="1" t="s">
        <v>18</v>
      </c>
      <c r="C47" s="1"/>
      <c r="D47" s="1">
        <f t="shared" si="20"/>
        <v>17</v>
      </c>
      <c r="E47" s="1">
        <f t="shared" si="20"/>
        <v>14</v>
      </c>
      <c r="F47" s="1">
        <f t="shared" si="20"/>
        <v>30</v>
      </c>
      <c r="G47" s="1">
        <f t="shared" si="20"/>
        <v>1</v>
      </c>
      <c r="H47" s="1">
        <f t="shared" si="20"/>
        <v>0</v>
      </c>
      <c r="I47" s="1">
        <f t="shared" si="20"/>
        <v>31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</row>
    <row r="48" spans="1:27" x14ac:dyDescent="0.35">
      <c r="A48" s="1"/>
      <c r="B48" s="1" t="s">
        <v>13</v>
      </c>
      <c r="C48" s="1"/>
      <c r="D48" s="1">
        <f t="shared" si="20"/>
        <v>28</v>
      </c>
      <c r="E48" s="1">
        <f t="shared" si="20"/>
        <v>9</v>
      </c>
      <c r="F48" s="1">
        <f t="shared" si="20"/>
        <v>29</v>
      </c>
      <c r="G48" s="1">
        <f t="shared" si="20"/>
        <v>8</v>
      </c>
      <c r="H48" s="1">
        <f t="shared" si="20"/>
        <v>0</v>
      </c>
      <c r="I48" s="1">
        <f t="shared" si="20"/>
        <v>35</v>
      </c>
      <c r="J48" s="1">
        <f t="shared" si="20"/>
        <v>1</v>
      </c>
      <c r="K48" s="1">
        <f t="shared" si="20"/>
        <v>1</v>
      </c>
      <c r="L48" s="1">
        <f t="shared" si="20"/>
        <v>0</v>
      </c>
      <c r="M48" s="1">
        <f t="shared" si="20"/>
        <v>0</v>
      </c>
    </row>
    <row r="49" spans="1:15" x14ac:dyDescent="0.35">
      <c r="A49" s="1"/>
      <c r="B49" s="1" t="s">
        <v>74</v>
      </c>
      <c r="C49" s="1"/>
      <c r="D49" s="1">
        <f t="shared" si="20"/>
        <v>0</v>
      </c>
      <c r="E49" s="1">
        <f t="shared" si="20"/>
        <v>1</v>
      </c>
      <c r="F49" s="1">
        <f t="shared" si="20"/>
        <v>1</v>
      </c>
      <c r="G49" s="1">
        <f t="shared" si="20"/>
        <v>0</v>
      </c>
      <c r="H49" s="1">
        <f t="shared" si="20"/>
        <v>1</v>
      </c>
      <c r="I49" s="1">
        <f t="shared" si="20"/>
        <v>0</v>
      </c>
      <c r="J49" s="1">
        <f t="shared" si="20"/>
        <v>0</v>
      </c>
      <c r="K49" s="1">
        <f t="shared" si="20"/>
        <v>0</v>
      </c>
      <c r="L49" s="1">
        <f t="shared" si="20"/>
        <v>0</v>
      </c>
      <c r="M49" s="1">
        <f t="shared" si="20"/>
        <v>0</v>
      </c>
    </row>
    <row r="50" spans="1:15" x14ac:dyDescent="0.35">
      <c r="A50" s="1" t="s">
        <v>9</v>
      </c>
      <c r="B50" s="1" t="s">
        <v>11</v>
      </c>
      <c r="C50" s="1"/>
      <c r="D50" s="1">
        <f t="shared" si="20"/>
        <v>0</v>
      </c>
      <c r="E50" s="1">
        <f t="shared" si="20"/>
        <v>0</v>
      </c>
      <c r="F50" s="1">
        <f t="shared" si="20"/>
        <v>0</v>
      </c>
      <c r="G50" s="1">
        <f t="shared" si="20"/>
        <v>0</v>
      </c>
      <c r="H50" s="1">
        <f t="shared" si="20"/>
        <v>0</v>
      </c>
      <c r="I50" s="1">
        <f t="shared" si="20"/>
        <v>0</v>
      </c>
      <c r="J50" s="1">
        <f t="shared" si="20"/>
        <v>0</v>
      </c>
      <c r="K50" s="1">
        <f t="shared" si="20"/>
        <v>0</v>
      </c>
      <c r="L50" s="1">
        <f t="shared" si="20"/>
        <v>0</v>
      </c>
      <c r="M50" s="1">
        <f t="shared" si="20"/>
        <v>0</v>
      </c>
    </row>
    <row r="51" spans="1:15" x14ac:dyDescent="0.35">
      <c r="A51" s="1"/>
      <c r="B51" s="1" t="s">
        <v>72</v>
      </c>
      <c r="C51" s="1"/>
      <c r="D51" s="1">
        <f t="shared" si="20"/>
        <v>0</v>
      </c>
      <c r="E51" s="1">
        <f t="shared" si="20"/>
        <v>0</v>
      </c>
      <c r="F51" s="1">
        <f t="shared" si="20"/>
        <v>0</v>
      </c>
      <c r="G51" s="1">
        <f t="shared" si="20"/>
        <v>0</v>
      </c>
      <c r="H51" s="1">
        <f t="shared" si="20"/>
        <v>0</v>
      </c>
      <c r="I51" s="1">
        <f t="shared" si="20"/>
        <v>0</v>
      </c>
      <c r="J51" s="1">
        <f t="shared" si="20"/>
        <v>0</v>
      </c>
      <c r="K51" s="1">
        <f t="shared" si="20"/>
        <v>0</v>
      </c>
      <c r="L51" s="1">
        <f t="shared" si="20"/>
        <v>0</v>
      </c>
      <c r="M51" s="1">
        <f t="shared" si="20"/>
        <v>0</v>
      </c>
    </row>
    <row r="52" spans="1:15" x14ac:dyDescent="0.35">
      <c r="A52" s="1"/>
      <c r="B52" s="1" t="s">
        <v>18</v>
      </c>
      <c r="C52" s="1"/>
      <c r="D52" s="1">
        <f t="shared" si="20"/>
        <v>3</v>
      </c>
      <c r="E52" s="1">
        <f t="shared" si="20"/>
        <v>3</v>
      </c>
      <c r="F52" s="1">
        <f t="shared" si="20"/>
        <v>6</v>
      </c>
      <c r="G52" s="1">
        <f t="shared" si="20"/>
        <v>0</v>
      </c>
      <c r="H52" s="1">
        <f t="shared" si="20"/>
        <v>0</v>
      </c>
      <c r="I52" s="1">
        <f t="shared" si="20"/>
        <v>6</v>
      </c>
      <c r="J52" s="1">
        <f t="shared" si="20"/>
        <v>0</v>
      </c>
      <c r="K52" s="1">
        <f t="shared" si="20"/>
        <v>0</v>
      </c>
      <c r="L52" s="1">
        <f t="shared" si="20"/>
        <v>0</v>
      </c>
      <c r="M52" s="1">
        <f t="shared" si="20"/>
        <v>0</v>
      </c>
    </row>
    <row r="53" spans="1:15" x14ac:dyDescent="0.35">
      <c r="A53" s="1"/>
      <c r="B53" s="1" t="s">
        <v>13</v>
      </c>
      <c r="C53" s="1"/>
      <c r="D53" s="1">
        <f t="shared" si="20"/>
        <v>4</v>
      </c>
      <c r="E53" s="1">
        <f t="shared" si="20"/>
        <v>5</v>
      </c>
      <c r="F53" s="1">
        <f t="shared" si="20"/>
        <v>9</v>
      </c>
      <c r="G53" s="1">
        <f t="shared" si="20"/>
        <v>0</v>
      </c>
      <c r="H53" s="1">
        <f t="shared" si="20"/>
        <v>0</v>
      </c>
      <c r="I53" s="1">
        <f t="shared" si="20"/>
        <v>9</v>
      </c>
      <c r="J53" s="1">
        <f t="shared" si="20"/>
        <v>0</v>
      </c>
      <c r="K53" s="1">
        <f t="shared" si="20"/>
        <v>0</v>
      </c>
      <c r="L53" s="1">
        <f t="shared" si="20"/>
        <v>0</v>
      </c>
      <c r="M53" s="1">
        <f t="shared" si="20"/>
        <v>0</v>
      </c>
      <c r="N53" s="12" t="s">
        <v>66</v>
      </c>
    </row>
    <row r="54" spans="1:15" x14ac:dyDescent="0.35">
      <c r="A54" s="1"/>
      <c r="B54" s="1" t="s">
        <v>74</v>
      </c>
      <c r="C54" s="1"/>
      <c r="D54" s="1">
        <f t="shared" ref="D54:M54" si="21">(D75+D96+D117+D138+D159+D180+D201+D222)</f>
        <v>0</v>
      </c>
      <c r="E54" s="1">
        <f t="shared" si="21"/>
        <v>0</v>
      </c>
      <c r="F54" s="1">
        <f t="shared" si="21"/>
        <v>0</v>
      </c>
      <c r="G54" s="1">
        <f t="shared" si="21"/>
        <v>0</v>
      </c>
      <c r="H54" s="1">
        <f t="shared" si="21"/>
        <v>0</v>
      </c>
      <c r="I54" s="1">
        <f t="shared" si="21"/>
        <v>0</v>
      </c>
      <c r="J54" s="1">
        <f t="shared" si="21"/>
        <v>0</v>
      </c>
      <c r="K54" s="1">
        <f t="shared" si="21"/>
        <v>0</v>
      </c>
      <c r="L54" s="1">
        <f t="shared" si="21"/>
        <v>0</v>
      </c>
      <c r="M54" s="1">
        <f t="shared" si="21"/>
        <v>0</v>
      </c>
      <c r="N54" s="12">
        <f>SUM(C36:E54)</f>
        <v>121</v>
      </c>
    </row>
    <row r="56" spans="1:15" x14ac:dyDescent="0.35">
      <c r="A56" s="18" t="s">
        <v>79</v>
      </c>
      <c r="B56" s="20">
        <v>44641</v>
      </c>
      <c r="C56" s="16" t="s">
        <v>80</v>
      </c>
      <c r="D56" s="16" t="s">
        <v>3</v>
      </c>
      <c r="E56" s="16" t="s">
        <v>4</v>
      </c>
      <c r="F56" s="16" t="s">
        <v>10</v>
      </c>
      <c r="G56" s="16" t="s">
        <v>17</v>
      </c>
      <c r="H56" s="16" t="s">
        <v>19</v>
      </c>
      <c r="I56" s="16" t="s">
        <v>20</v>
      </c>
      <c r="J56" s="16" t="s">
        <v>21</v>
      </c>
      <c r="K56" s="16" t="s">
        <v>22</v>
      </c>
      <c r="L56" s="16" t="s">
        <v>23</v>
      </c>
      <c r="M56" s="16" t="s">
        <v>24</v>
      </c>
      <c r="N56" s="16" t="s">
        <v>15</v>
      </c>
    </row>
    <row r="57" spans="1:15" x14ac:dyDescent="0.35">
      <c r="A57" s="16" t="s">
        <v>5</v>
      </c>
      <c r="C57" s="16">
        <v>1</v>
      </c>
      <c r="D57" s="16">
        <v>1</v>
      </c>
      <c r="E57" s="16">
        <v>0</v>
      </c>
      <c r="N57" s="16">
        <v>8</v>
      </c>
      <c r="O57" s="16" t="s">
        <v>43</v>
      </c>
    </row>
    <row r="58" spans="1:15" x14ac:dyDescent="0.35">
      <c r="A58" s="16" t="s">
        <v>6</v>
      </c>
      <c r="B58" s="16" t="s">
        <v>11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8</v>
      </c>
      <c r="O58" s="16" t="s">
        <v>44</v>
      </c>
    </row>
    <row r="59" spans="1:15" x14ac:dyDescent="0.35">
      <c r="B59" s="16" t="s">
        <v>72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8</v>
      </c>
      <c r="O59" s="16" t="s">
        <v>45</v>
      </c>
    </row>
    <row r="60" spans="1:15" x14ac:dyDescent="0.35">
      <c r="B60" s="16" t="s">
        <v>18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8</v>
      </c>
      <c r="O60" s="16" t="s">
        <v>46</v>
      </c>
    </row>
    <row r="61" spans="1:15" x14ac:dyDescent="0.35">
      <c r="B61" s="16" t="s">
        <v>13</v>
      </c>
      <c r="D61" s="16">
        <v>3</v>
      </c>
      <c r="E61" s="16">
        <v>4</v>
      </c>
      <c r="F61" s="16">
        <v>6</v>
      </c>
      <c r="G61" s="16">
        <v>1</v>
      </c>
      <c r="H61" s="16">
        <v>0</v>
      </c>
      <c r="I61" s="16">
        <v>7</v>
      </c>
      <c r="J61" s="16">
        <v>0</v>
      </c>
      <c r="K61" s="16">
        <v>0</v>
      </c>
      <c r="L61" s="16">
        <v>0</v>
      </c>
      <c r="M61" s="16">
        <v>0</v>
      </c>
    </row>
    <row r="62" spans="1:15" x14ac:dyDescent="0.35">
      <c r="A62" s="16" t="s">
        <v>7</v>
      </c>
      <c r="B62" s="16" t="s">
        <v>11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</row>
    <row r="63" spans="1:15" x14ac:dyDescent="0.35">
      <c r="B63" s="16" t="s">
        <v>72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</row>
    <row r="64" spans="1:15" x14ac:dyDescent="0.35">
      <c r="B64" s="16" t="s">
        <v>18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</row>
    <row r="65" spans="1:15" x14ac:dyDescent="0.35">
      <c r="B65" s="16" t="s">
        <v>13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</row>
    <row r="66" spans="1:15" x14ac:dyDescent="0.35">
      <c r="A66" s="16" t="s">
        <v>8</v>
      </c>
      <c r="B66" s="16" t="s">
        <v>11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</row>
    <row r="67" spans="1:15" x14ac:dyDescent="0.35">
      <c r="B67" s="16" t="s">
        <v>72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</row>
    <row r="68" spans="1:15" x14ac:dyDescent="0.35">
      <c r="B68" s="16" t="s">
        <v>18</v>
      </c>
      <c r="D68" s="16">
        <v>6</v>
      </c>
      <c r="E68" s="16">
        <v>2</v>
      </c>
      <c r="F68" s="16">
        <v>8</v>
      </c>
      <c r="G68" s="16">
        <v>0</v>
      </c>
      <c r="H68" s="16">
        <v>0</v>
      </c>
      <c r="I68" s="16">
        <v>8</v>
      </c>
      <c r="J68" s="16">
        <v>0</v>
      </c>
      <c r="K68" s="16">
        <v>0</v>
      </c>
      <c r="L68" s="16">
        <v>0</v>
      </c>
      <c r="M68" s="16">
        <v>0</v>
      </c>
    </row>
    <row r="69" spans="1:15" x14ac:dyDescent="0.35">
      <c r="B69" s="16" t="s">
        <v>13</v>
      </c>
      <c r="D69" s="16">
        <v>6</v>
      </c>
      <c r="E69" s="16">
        <v>1</v>
      </c>
      <c r="F69" s="16">
        <v>4</v>
      </c>
      <c r="G69" s="16">
        <v>3</v>
      </c>
      <c r="H69" s="16">
        <v>0</v>
      </c>
      <c r="I69" s="16">
        <v>6</v>
      </c>
      <c r="J69" s="16">
        <v>1</v>
      </c>
      <c r="K69" s="16">
        <v>0</v>
      </c>
      <c r="L69" s="16">
        <v>0</v>
      </c>
      <c r="M69" s="16">
        <v>0</v>
      </c>
    </row>
    <row r="70" spans="1:15" x14ac:dyDescent="0.35">
      <c r="B70" s="16" t="s">
        <v>74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</row>
    <row r="71" spans="1:15" x14ac:dyDescent="0.35">
      <c r="A71" s="16" t="s">
        <v>9</v>
      </c>
      <c r="B71" s="16" t="s">
        <v>11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</row>
    <row r="72" spans="1:15" x14ac:dyDescent="0.35">
      <c r="B72" s="16" t="s">
        <v>72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</row>
    <row r="73" spans="1:15" x14ac:dyDescent="0.35">
      <c r="B73" s="16" t="s">
        <v>18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</row>
    <row r="74" spans="1:15" x14ac:dyDescent="0.35">
      <c r="B74" s="16" t="s">
        <v>13</v>
      </c>
      <c r="D74" s="16">
        <v>0</v>
      </c>
      <c r="E74" s="16">
        <v>1</v>
      </c>
      <c r="F74" s="16">
        <v>1</v>
      </c>
      <c r="G74" s="16">
        <v>0</v>
      </c>
      <c r="H74" s="16">
        <v>0</v>
      </c>
      <c r="I74" s="16">
        <v>1</v>
      </c>
      <c r="J74" s="16">
        <v>0</v>
      </c>
      <c r="K74" s="16">
        <v>0</v>
      </c>
      <c r="L74" s="16">
        <v>0</v>
      </c>
      <c r="M74" s="16">
        <v>0</v>
      </c>
    </row>
    <row r="75" spans="1:15" x14ac:dyDescent="0.35">
      <c r="B75" s="16" t="s">
        <v>74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</row>
    <row r="77" spans="1:15" x14ac:dyDescent="0.35">
      <c r="A77" s="18" t="s">
        <v>79</v>
      </c>
      <c r="B77" s="64">
        <v>44641</v>
      </c>
      <c r="C77" s="16" t="s">
        <v>81</v>
      </c>
      <c r="D77" s="16" t="s">
        <v>3</v>
      </c>
      <c r="E77" s="16" t="s">
        <v>4</v>
      </c>
      <c r="F77" s="16" t="s">
        <v>10</v>
      </c>
      <c r="G77" s="16" t="s">
        <v>17</v>
      </c>
      <c r="H77" s="16" t="s">
        <v>19</v>
      </c>
      <c r="I77" s="16" t="s">
        <v>20</v>
      </c>
      <c r="J77" s="16" t="s">
        <v>21</v>
      </c>
      <c r="K77" s="16" t="s">
        <v>22</v>
      </c>
      <c r="L77" s="16" t="s">
        <v>23</v>
      </c>
      <c r="M77" s="16" t="s">
        <v>24</v>
      </c>
      <c r="N77" s="16" t="s">
        <v>15</v>
      </c>
    </row>
    <row r="78" spans="1:15" x14ac:dyDescent="0.35">
      <c r="A78" s="16" t="s">
        <v>5</v>
      </c>
      <c r="C78" s="16">
        <v>1</v>
      </c>
      <c r="D78" s="16">
        <v>0</v>
      </c>
      <c r="E78" s="16">
        <v>1</v>
      </c>
      <c r="N78" s="16">
        <v>4</v>
      </c>
      <c r="O78" s="16" t="s">
        <v>43</v>
      </c>
    </row>
    <row r="79" spans="1:15" x14ac:dyDescent="0.35">
      <c r="A79" s="16" t="s">
        <v>6</v>
      </c>
      <c r="B79" s="16" t="s">
        <v>11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2</v>
      </c>
      <c r="O79" s="16" t="s">
        <v>44</v>
      </c>
    </row>
    <row r="80" spans="1:15" x14ac:dyDescent="0.35">
      <c r="B80" s="16" t="s">
        <v>72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2</v>
      </c>
      <c r="O80" s="16" t="s">
        <v>45</v>
      </c>
    </row>
    <row r="81" spans="1:15" x14ac:dyDescent="0.35">
      <c r="B81" s="16" t="s">
        <v>18</v>
      </c>
      <c r="D81" s="16">
        <v>0</v>
      </c>
      <c r="E81" s="16">
        <v>1</v>
      </c>
      <c r="F81" s="16">
        <v>1</v>
      </c>
      <c r="G81" s="16">
        <v>0</v>
      </c>
      <c r="H81" s="16">
        <v>0</v>
      </c>
      <c r="I81" s="16">
        <v>1</v>
      </c>
      <c r="J81" s="16">
        <v>0</v>
      </c>
      <c r="K81" s="16">
        <v>0</v>
      </c>
      <c r="L81" s="16">
        <v>0</v>
      </c>
      <c r="M81" s="16">
        <v>0</v>
      </c>
      <c r="N81" s="16">
        <v>2</v>
      </c>
      <c r="O81" s="16" t="s">
        <v>46</v>
      </c>
    </row>
    <row r="82" spans="1:15" x14ac:dyDescent="0.35">
      <c r="B82" s="16" t="s">
        <v>13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</row>
    <row r="83" spans="1:15" x14ac:dyDescent="0.35">
      <c r="A83" s="16" t="s">
        <v>7</v>
      </c>
      <c r="B83" s="16" t="s">
        <v>11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</row>
    <row r="84" spans="1:15" x14ac:dyDescent="0.35">
      <c r="B84" s="16" t="s">
        <v>72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</row>
    <row r="85" spans="1:15" x14ac:dyDescent="0.35">
      <c r="B85" s="16" t="s">
        <v>18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</row>
    <row r="86" spans="1:15" x14ac:dyDescent="0.35">
      <c r="B86" s="16" t="s">
        <v>13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</row>
    <row r="87" spans="1:15" x14ac:dyDescent="0.35">
      <c r="A87" s="16" t="s">
        <v>8</v>
      </c>
      <c r="B87" s="16" t="s">
        <v>11</v>
      </c>
      <c r="D87" s="16">
        <v>0</v>
      </c>
      <c r="E87" s="16">
        <v>1</v>
      </c>
      <c r="F87" s="16">
        <v>0</v>
      </c>
      <c r="G87" s="16">
        <v>1</v>
      </c>
      <c r="H87" s="16">
        <v>0</v>
      </c>
      <c r="I87" s="16">
        <v>0</v>
      </c>
      <c r="J87" s="16">
        <v>1</v>
      </c>
      <c r="K87" s="16">
        <v>0</v>
      </c>
      <c r="L87" s="16">
        <v>0</v>
      </c>
      <c r="M87" s="16">
        <v>0</v>
      </c>
    </row>
    <row r="88" spans="1:15" x14ac:dyDescent="0.35">
      <c r="B88" s="16" t="s">
        <v>72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</row>
    <row r="89" spans="1:15" x14ac:dyDescent="0.35">
      <c r="B89" s="16" t="s">
        <v>18</v>
      </c>
      <c r="D89" s="16">
        <v>1</v>
      </c>
      <c r="E89" s="16">
        <v>2</v>
      </c>
      <c r="F89" s="16">
        <v>3</v>
      </c>
      <c r="G89" s="16">
        <v>0</v>
      </c>
      <c r="H89" s="16">
        <v>0</v>
      </c>
      <c r="I89" s="16">
        <v>3</v>
      </c>
      <c r="J89" s="16">
        <v>0</v>
      </c>
      <c r="K89" s="16">
        <v>0</v>
      </c>
      <c r="L89" s="16">
        <v>0</v>
      </c>
      <c r="M89" s="16">
        <v>0</v>
      </c>
    </row>
    <row r="90" spans="1:15" x14ac:dyDescent="0.35">
      <c r="B90" s="16" t="s">
        <v>13</v>
      </c>
      <c r="D90" s="16">
        <v>3</v>
      </c>
      <c r="E90" s="16">
        <v>0</v>
      </c>
      <c r="F90" s="16">
        <v>1</v>
      </c>
      <c r="G90" s="16">
        <v>2</v>
      </c>
      <c r="H90" s="16">
        <v>0</v>
      </c>
      <c r="I90" s="16">
        <v>2</v>
      </c>
      <c r="J90" s="16">
        <v>0</v>
      </c>
      <c r="K90" s="16">
        <v>0</v>
      </c>
      <c r="L90" s="16">
        <v>0</v>
      </c>
      <c r="M90" s="16">
        <v>0</v>
      </c>
    </row>
    <row r="91" spans="1:15" x14ac:dyDescent="0.35">
      <c r="B91" s="16" t="s">
        <v>74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</row>
    <row r="92" spans="1:15" x14ac:dyDescent="0.35">
      <c r="A92" s="16" t="s">
        <v>9</v>
      </c>
      <c r="B92" s="16" t="s">
        <v>11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</row>
    <row r="93" spans="1:15" x14ac:dyDescent="0.35">
      <c r="B93" s="16" t="s">
        <v>72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</row>
    <row r="94" spans="1:15" x14ac:dyDescent="0.35">
      <c r="B94" s="16" t="s">
        <v>18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</row>
    <row r="95" spans="1:15" x14ac:dyDescent="0.35">
      <c r="B95" s="16" t="s">
        <v>13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</row>
    <row r="96" spans="1:15" x14ac:dyDescent="0.35">
      <c r="B96" s="16" t="s">
        <v>74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</row>
    <row r="98" spans="1:15" x14ac:dyDescent="0.35">
      <c r="A98" s="18" t="s">
        <v>79</v>
      </c>
      <c r="B98" s="20">
        <v>44641</v>
      </c>
      <c r="C98" s="16" t="s">
        <v>82</v>
      </c>
      <c r="D98" s="16" t="s">
        <v>3</v>
      </c>
      <c r="E98" s="16" t="s">
        <v>4</v>
      </c>
      <c r="F98" s="16" t="s">
        <v>10</v>
      </c>
      <c r="G98" s="16" t="s">
        <v>17</v>
      </c>
      <c r="H98" s="16" t="s">
        <v>19</v>
      </c>
      <c r="I98" s="16" t="s">
        <v>20</v>
      </c>
      <c r="J98" s="16" t="s">
        <v>21</v>
      </c>
      <c r="K98" s="16" t="s">
        <v>22</v>
      </c>
      <c r="L98" s="16" t="s">
        <v>23</v>
      </c>
      <c r="M98" s="16" t="s">
        <v>24</v>
      </c>
      <c r="N98" s="16" t="s">
        <v>15</v>
      </c>
    </row>
    <row r="99" spans="1:15" x14ac:dyDescent="0.35">
      <c r="A99" s="16" t="s">
        <v>5</v>
      </c>
      <c r="D99" s="16">
        <v>0</v>
      </c>
      <c r="E99" s="16">
        <v>0</v>
      </c>
      <c r="O99" s="16" t="s">
        <v>43</v>
      </c>
    </row>
    <row r="100" spans="1:15" x14ac:dyDescent="0.35">
      <c r="A100" s="16" t="s">
        <v>6</v>
      </c>
      <c r="B100" s="16" t="s">
        <v>11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O100" s="16" t="s">
        <v>44</v>
      </c>
    </row>
    <row r="101" spans="1:15" x14ac:dyDescent="0.35">
      <c r="B101" s="16" t="s">
        <v>72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O101" s="16" t="s">
        <v>45</v>
      </c>
    </row>
    <row r="102" spans="1:15" x14ac:dyDescent="0.35">
      <c r="B102" s="16" t="s">
        <v>18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O102" s="16" t="s">
        <v>46</v>
      </c>
    </row>
    <row r="103" spans="1:15" x14ac:dyDescent="0.35">
      <c r="B103" s="16" t="s">
        <v>13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</row>
    <row r="104" spans="1:15" x14ac:dyDescent="0.35">
      <c r="A104" s="16" t="s">
        <v>7</v>
      </c>
      <c r="B104" s="16" t="s">
        <v>11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</row>
    <row r="105" spans="1:15" x14ac:dyDescent="0.35">
      <c r="B105" s="16" t="s">
        <v>72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</row>
    <row r="106" spans="1:15" x14ac:dyDescent="0.35">
      <c r="B106" s="16" t="s">
        <v>18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</row>
    <row r="107" spans="1:15" x14ac:dyDescent="0.35">
      <c r="B107" s="16" t="s">
        <v>13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</row>
    <row r="108" spans="1:15" x14ac:dyDescent="0.35">
      <c r="A108" s="16" t="s">
        <v>8</v>
      </c>
      <c r="B108" s="16" t="s">
        <v>11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</row>
    <row r="109" spans="1:15" x14ac:dyDescent="0.35">
      <c r="B109" s="16" t="s">
        <v>72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</row>
    <row r="110" spans="1:15" x14ac:dyDescent="0.35">
      <c r="B110" s="16" t="s">
        <v>18</v>
      </c>
      <c r="D110" s="16">
        <v>2</v>
      </c>
      <c r="E110" s="16">
        <v>1</v>
      </c>
      <c r="F110" s="16">
        <v>3</v>
      </c>
      <c r="G110" s="16">
        <v>0</v>
      </c>
      <c r="H110" s="16">
        <v>0</v>
      </c>
      <c r="I110" s="16">
        <v>3</v>
      </c>
      <c r="J110" s="16">
        <v>0</v>
      </c>
      <c r="K110" s="16">
        <v>0</v>
      </c>
      <c r="L110" s="16">
        <v>0</v>
      </c>
      <c r="M110" s="16">
        <v>0</v>
      </c>
    </row>
    <row r="111" spans="1:15" x14ac:dyDescent="0.35">
      <c r="B111" s="16" t="s">
        <v>13</v>
      </c>
      <c r="D111" s="16">
        <v>4</v>
      </c>
      <c r="E111" s="16">
        <v>0</v>
      </c>
      <c r="F111" s="16">
        <v>3</v>
      </c>
      <c r="G111" s="16">
        <v>1</v>
      </c>
      <c r="H111" s="16">
        <v>0</v>
      </c>
      <c r="I111" s="16">
        <v>4</v>
      </c>
      <c r="J111" s="16">
        <v>0</v>
      </c>
      <c r="K111" s="16">
        <v>0</v>
      </c>
      <c r="L111" s="16">
        <v>0</v>
      </c>
      <c r="M111" s="16">
        <v>0</v>
      </c>
    </row>
    <row r="112" spans="1:15" x14ac:dyDescent="0.35">
      <c r="B112" s="16" t="s">
        <v>74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</row>
    <row r="113" spans="1:15" x14ac:dyDescent="0.35">
      <c r="A113" s="16" t="s">
        <v>9</v>
      </c>
      <c r="B113" s="16" t="s">
        <v>11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</row>
    <row r="114" spans="1:15" x14ac:dyDescent="0.35">
      <c r="B114" s="16" t="s">
        <v>72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</row>
    <row r="115" spans="1:15" x14ac:dyDescent="0.35">
      <c r="B115" s="16" t="s">
        <v>18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</row>
    <row r="116" spans="1:15" x14ac:dyDescent="0.35">
      <c r="B116" s="16" t="s">
        <v>13</v>
      </c>
      <c r="D116" s="16">
        <v>1</v>
      </c>
      <c r="E116" s="16">
        <v>0</v>
      </c>
      <c r="F116" s="16">
        <v>1</v>
      </c>
      <c r="G116" s="16">
        <v>0</v>
      </c>
      <c r="H116" s="16">
        <v>0</v>
      </c>
      <c r="I116" s="16">
        <v>1</v>
      </c>
      <c r="J116" s="16">
        <v>0</v>
      </c>
      <c r="K116" s="16">
        <v>0</v>
      </c>
      <c r="L116" s="16">
        <v>0</v>
      </c>
      <c r="M116" s="16">
        <v>0</v>
      </c>
    </row>
    <row r="117" spans="1:15" x14ac:dyDescent="0.35">
      <c r="B117" s="16" t="s">
        <v>74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</row>
    <row r="119" spans="1:15" x14ac:dyDescent="0.35">
      <c r="A119" s="18"/>
      <c r="B119" s="20">
        <v>44641</v>
      </c>
      <c r="C119" s="16" t="s">
        <v>62</v>
      </c>
      <c r="D119" s="16" t="s">
        <v>3</v>
      </c>
      <c r="E119" s="16" t="s">
        <v>4</v>
      </c>
      <c r="F119" s="16" t="s">
        <v>10</v>
      </c>
      <c r="G119" s="16" t="s">
        <v>17</v>
      </c>
      <c r="H119" s="16" t="s">
        <v>19</v>
      </c>
      <c r="I119" s="16" t="s">
        <v>20</v>
      </c>
      <c r="J119" s="16" t="s">
        <v>21</v>
      </c>
      <c r="K119" s="16" t="s">
        <v>22</v>
      </c>
      <c r="L119" s="16" t="s">
        <v>23</v>
      </c>
      <c r="M119" s="16" t="s">
        <v>24</v>
      </c>
      <c r="N119" s="16" t="s">
        <v>15</v>
      </c>
    </row>
    <row r="120" spans="1:15" x14ac:dyDescent="0.35">
      <c r="A120" s="16" t="s">
        <v>5</v>
      </c>
      <c r="D120" s="16">
        <v>0</v>
      </c>
      <c r="E120" s="16">
        <v>0</v>
      </c>
      <c r="N120" s="16">
        <v>9</v>
      </c>
      <c r="O120" s="16" t="s">
        <v>43</v>
      </c>
    </row>
    <row r="121" spans="1:15" x14ac:dyDescent="0.35">
      <c r="A121" s="16" t="s">
        <v>6</v>
      </c>
      <c r="B121" s="16" t="s">
        <v>11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2</v>
      </c>
      <c r="O121" s="16" t="s">
        <v>44</v>
      </c>
    </row>
    <row r="122" spans="1:15" x14ac:dyDescent="0.35">
      <c r="B122" s="16" t="s">
        <v>72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3</v>
      </c>
      <c r="O122" s="16" t="s">
        <v>45</v>
      </c>
    </row>
    <row r="123" spans="1:15" x14ac:dyDescent="0.35">
      <c r="B123" s="16" t="s">
        <v>18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2.25</v>
      </c>
      <c r="O123" s="16" t="s">
        <v>46</v>
      </c>
    </row>
    <row r="124" spans="1:15" x14ac:dyDescent="0.35">
      <c r="B124" s="16" t="s">
        <v>13</v>
      </c>
      <c r="D124" s="16">
        <v>2</v>
      </c>
      <c r="E124" s="16">
        <v>1</v>
      </c>
      <c r="F124" s="16">
        <v>3</v>
      </c>
      <c r="G124" s="16">
        <v>0</v>
      </c>
      <c r="H124" s="16">
        <v>0</v>
      </c>
      <c r="I124" s="16">
        <v>3</v>
      </c>
      <c r="J124" s="16">
        <v>0</v>
      </c>
      <c r="K124" s="16">
        <v>2</v>
      </c>
      <c r="L124" s="16">
        <v>0</v>
      </c>
      <c r="M124" s="16">
        <v>0</v>
      </c>
    </row>
    <row r="125" spans="1:15" x14ac:dyDescent="0.35">
      <c r="A125" s="16" t="s">
        <v>7</v>
      </c>
      <c r="B125" s="16" t="s">
        <v>11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</row>
    <row r="126" spans="1:15" x14ac:dyDescent="0.35">
      <c r="B126" s="16" t="s">
        <v>72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pans="1:15" x14ac:dyDescent="0.35">
      <c r="B127" s="16" t="s">
        <v>18</v>
      </c>
      <c r="D127" s="16">
        <v>2</v>
      </c>
      <c r="E127" s="16">
        <v>0</v>
      </c>
      <c r="F127" s="16">
        <v>2</v>
      </c>
      <c r="G127" s="16">
        <v>0</v>
      </c>
      <c r="H127" s="16">
        <v>0</v>
      </c>
      <c r="I127" s="16">
        <v>2</v>
      </c>
      <c r="J127" s="16">
        <v>0</v>
      </c>
      <c r="K127" s="16">
        <v>0</v>
      </c>
      <c r="L127" s="16">
        <v>0</v>
      </c>
      <c r="M127" s="16">
        <v>0</v>
      </c>
    </row>
    <row r="128" spans="1:15" x14ac:dyDescent="0.35">
      <c r="B128" s="16" t="s">
        <v>13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</row>
    <row r="129" spans="1:15" x14ac:dyDescent="0.35">
      <c r="A129" s="16" t="s">
        <v>8</v>
      </c>
      <c r="B129" s="16" t="s">
        <v>11</v>
      </c>
      <c r="D129" s="16">
        <v>0</v>
      </c>
      <c r="E129" s="16">
        <v>2</v>
      </c>
      <c r="F129" s="16">
        <v>2</v>
      </c>
      <c r="G129" s="16">
        <v>0</v>
      </c>
      <c r="H129" s="16">
        <v>0</v>
      </c>
      <c r="I129" s="16">
        <v>0</v>
      </c>
      <c r="J129" s="16">
        <v>2</v>
      </c>
      <c r="K129" s="16">
        <v>0</v>
      </c>
      <c r="L129" s="16">
        <v>0</v>
      </c>
      <c r="M129" s="16">
        <v>0</v>
      </c>
    </row>
    <row r="130" spans="1:15" x14ac:dyDescent="0.35">
      <c r="B130" s="16" t="s">
        <v>72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</row>
    <row r="131" spans="1:15" x14ac:dyDescent="0.35">
      <c r="B131" s="16" t="s">
        <v>18</v>
      </c>
      <c r="D131" s="16">
        <v>2</v>
      </c>
      <c r="E131" s="16">
        <v>3</v>
      </c>
      <c r="F131" s="16">
        <v>5</v>
      </c>
      <c r="G131" s="16">
        <v>0</v>
      </c>
      <c r="H131" s="16">
        <v>0</v>
      </c>
      <c r="I131" s="16">
        <v>5</v>
      </c>
      <c r="J131" s="16">
        <v>0</v>
      </c>
      <c r="K131" s="16">
        <v>0</v>
      </c>
      <c r="L131" s="16">
        <v>0</v>
      </c>
      <c r="M131" s="16">
        <v>0</v>
      </c>
    </row>
    <row r="132" spans="1:15" x14ac:dyDescent="0.35">
      <c r="B132" s="16" t="s">
        <v>13</v>
      </c>
      <c r="D132" s="16">
        <v>3</v>
      </c>
      <c r="E132" s="16">
        <v>1</v>
      </c>
      <c r="F132" s="16">
        <v>4</v>
      </c>
      <c r="G132" s="16">
        <v>0</v>
      </c>
      <c r="H132" s="16">
        <v>0</v>
      </c>
      <c r="I132" s="16">
        <v>4</v>
      </c>
      <c r="J132" s="16">
        <v>0</v>
      </c>
      <c r="K132" s="16">
        <v>1</v>
      </c>
      <c r="L132" s="16">
        <v>0</v>
      </c>
      <c r="M132" s="16">
        <v>0</v>
      </c>
    </row>
    <row r="133" spans="1:15" x14ac:dyDescent="0.35">
      <c r="B133" s="16" t="s">
        <v>74</v>
      </c>
      <c r="D133" s="16">
        <v>0</v>
      </c>
      <c r="E133" s="16">
        <v>1</v>
      </c>
      <c r="F133" s="16">
        <v>1</v>
      </c>
      <c r="G133" s="16">
        <v>0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</row>
    <row r="134" spans="1:15" x14ac:dyDescent="0.35">
      <c r="A134" s="16" t="s">
        <v>9</v>
      </c>
      <c r="B134" s="16" t="s">
        <v>11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</row>
    <row r="135" spans="1:15" x14ac:dyDescent="0.35">
      <c r="B135" s="16" t="s">
        <v>72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</row>
    <row r="136" spans="1:15" x14ac:dyDescent="0.35">
      <c r="B136" s="16" t="s">
        <v>18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</row>
    <row r="137" spans="1:15" x14ac:dyDescent="0.35">
      <c r="B137" s="16" t="s">
        <v>13</v>
      </c>
      <c r="D137" s="16">
        <v>0</v>
      </c>
      <c r="E137" s="16">
        <v>1</v>
      </c>
      <c r="F137" s="16">
        <v>1</v>
      </c>
      <c r="G137" s="16">
        <v>0</v>
      </c>
      <c r="H137" s="16">
        <v>0</v>
      </c>
      <c r="I137" s="16">
        <v>1</v>
      </c>
      <c r="J137" s="16">
        <v>0</v>
      </c>
      <c r="K137" s="16">
        <v>0</v>
      </c>
      <c r="L137" s="16">
        <v>0</v>
      </c>
      <c r="M137" s="16">
        <v>0</v>
      </c>
    </row>
    <row r="138" spans="1:15" x14ac:dyDescent="0.35">
      <c r="B138" s="16" t="s">
        <v>74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</row>
    <row r="140" spans="1:15" x14ac:dyDescent="0.35">
      <c r="A140" s="18" t="s">
        <v>79</v>
      </c>
      <c r="B140" s="20">
        <v>44643</v>
      </c>
      <c r="C140" s="16" t="s">
        <v>42</v>
      </c>
      <c r="D140" s="16" t="s">
        <v>3</v>
      </c>
      <c r="E140" s="16" t="s">
        <v>4</v>
      </c>
      <c r="F140" s="16" t="s">
        <v>10</v>
      </c>
      <c r="G140" s="16" t="s">
        <v>17</v>
      </c>
      <c r="H140" s="16" t="s">
        <v>19</v>
      </c>
      <c r="I140" s="16" t="s">
        <v>20</v>
      </c>
      <c r="J140" s="16" t="s">
        <v>21</v>
      </c>
      <c r="K140" s="16" t="s">
        <v>22</v>
      </c>
      <c r="L140" s="16" t="s">
        <v>23</v>
      </c>
      <c r="M140" s="16" t="s">
        <v>24</v>
      </c>
      <c r="N140" s="16" t="s">
        <v>15</v>
      </c>
    </row>
    <row r="141" spans="1:15" x14ac:dyDescent="0.35">
      <c r="A141" s="16" t="s">
        <v>5</v>
      </c>
      <c r="D141" s="16">
        <v>1</v>
      </c>
      <c r="E141" s="16">
        <v>1</v>
      </c>
      <c r="N141" s="16">
        <v>16</v>
      </c>
      <c r="O141" s="16" t="s">
        <v>43</v>
      </c>
    </row>
    <row r="142" spans="1:15" x14ac:dyDescent="0.35">
      <c r="A142" s="16" t="s">
        <v>6</v>
      </c>
      <c r="B142" s="16" t="s">
        <v>11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2</v>
      </c>
      <c r="O142" s="16" t="s">
        <v>44</v>
      </c>
    </row>
    <row r="143" spans="1:15" x14ac:dyDescent="0.35">
      <c r="B143" s="16" t="s">
        <v>72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6</v>
      </c>
      <c r="O143" s="16" t="s">
        <v>45</v>
      </c>
    </row>
    <row r="144" spans="1:15" x14ac:dyDescent="0.35">
      <c r="B144" s="16" t="s">
        <v>18</v>
      </c>
      <c r="D144" s="16">
        <v>0</v>
      </c>
      <c r="E144" s="16">
        <v>1</v>
      </c>
      <c r="F144" s="16">
        <v>1</v>
      </c>
      <c r="G144" s="16">
        <v>0</v>
      </c>
      <c r="H144" s="16">
        <v>0</v>
      </c>
      <c r="I144" s="16">
        <v>1</v>
      </c>
      <c r="J144" s="16">
        <v>0</v>
      </c>
      <c r="K144" s="16">
        <v>0</v>
      </c>
      <c r="L144" s="16">
        <v>0</v>
      </c>
      <c r="M144" s="16">
        <v>0</v>
      </c>
      <c r="N144" s="16">
        <v>3.2</v>
      </c>
      <c r="O144" s="16" t="s">
        <v>46</v>
      </c>
    </row>
    <row r="145" spans="1:13" x14ac:dyDescent="0.35">
      <c r="B145" s="16" t="s">
        <v>13</v>
      </c>
      <c r="D145" s="16">
        <v>2</v>
      </c>
      <c r="E145" s="16">
        <v>3</v>
      </c>
      <c r="F145" s="16">
        <v>3</v>
      </c>
      <c r="G145" s="16">
        <v>2</v>
      </c>
      <c r="H145" s="16">
        <v>0</v>
      </c>
      <c r="I145" s="16">
        <v>5</v>
      </c>
      <c r="J145" s="16">
        <v>0</v>
      </c>
      <c r="K145" s="16">
        <v>0</v>
      </c>
      <c r="L145" s="16">
        <v>0</v>
      </c>
      <c r="M145" s="16">
        <v>0</v>
      </c>
    </row>
    <row r="146" spans="1:13" x14ac:dyDescent="0.35">
      <c r="A146" s="16" t="s">
        <v>7</v>
      </c>
      <c r="B146" s="16" t="s">
        <v>11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</row>
    <row r="147" spans="1:13" x14ac:dyDescent="0.35">
      <c r="B147" s="16" t="s">
        <v>72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</row>
    <row r="148" spans="1:13" x14ac:dyDescent="0.35">
      <c r="B148" s="16" t="s">
        <v>18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</row>
    <row r="149" spans="1:13" x14ac:dyDescent="0.35">
      <c r="B149" s="16" t="s">
        <v>13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</row>
    <row r="150" spans="1:13" x14ac:dyDescent="0.35">
      <c r="A150" s="16" t="s">
        <v>8</v>
      </c>
      <c r="B150" s="16" t="s">
        <v>11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</row>
    <row r="151" spans="1:13" x14ac:dyDescent="0.35">
      <c r="B151" s="16" t="s">
        <v>72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</row>
    <row r="152" spans="1:13" x14ac:dyDescent="0.35">
      <c r="B152" s="16" t="s">
        <v>18</v>
      </c>
      <c r="D152" s="16">
        <v>2</v>
      </c>
      <c r="E152" s="16">
        <v>0</v>
      </c>
      <c r="F152" s="16">
        <v>2</v>
      </c>
      <c r="G152" s="16">
        <v>0</v>
      </c>
      <c r="H152" s="16">
        <v>0</v>
      </c>
      <c r="I152" s="16">
        <v>2</v>
      </c>
      <c r="J152" s="16">
        <v>0</v>
      </c>
      <c r="K152" s="16">
        <v>0</v>
      </c>
      <c r="L152" s="16">
        <v>0</v>
      </c>
      <c r="M152" s="16">
        <v>0</v>
      </c>
    </row>
    <row r="153" spans="1:13" x14ac:dyDescent="0.35">
      <c r="B153" s="16" t="s">
        <v>13</v>
      </c>
      <c r="D153" s="16">
        <v>6</v>
      </c>
      <c r="E153" s="16">
        <v>1</v>
      </c>
      <c r="F153" s="16">
        <v>6</v>
      </c>
      <c r="G153" s="16">
        <v>1</v>
      </c>
      <c r="H153" s="16">
        <v>0</v>
      </c>
      <c r="I153" s="16">
        <v>7</v>
      </c>
      <c r="J153" s="16">
        <v>0</v>
      </c>
      <c r="K153" s="16">
        <v>0</v>
      </c>
      <c r="L153" s="16">
        <v>0</v>
      </c>
      <c r="M153" s="16">
        <v>0</v>
      </c>
    </row>
    <row r="154" spans="1:13" x14ac:dyDescent="0.35">
      <c r="B154" s="16" t="s">
        <v>74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</row>
    <row r="155" spans="1:13" x14ac:dyDescent="0.35">
      <c r="A155" s="16" t="s">
        <v>9</v>
      </c>
      <c r="B155" s="16" t="s">
        <v>11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</row>
    <row r="156" spans="1:13" x14ac:dyDescent="0.35">
      <c r="B156" s="16" t="s">
        <v>72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</row>
    <row r="157" spans="1:13" x14ac:dyDescent="0.35">
      <c r="B157" s="16" t="s">
        <v>18</v>
      </c>
      <c r="D157" s="16">
        <v>2</v>
      </c>
      <c r="E157" s="16">
        <v>3</v>
      </c>
      <c r="F157" s="16">
        <v>5</v>
      </c>
      <c r="G157" s="16">
        <v>0</v>
      </c>
      <c r="H157" s="16">
        <v>0</v>
      </c>
      <c r="I157" s="16">
        <v>5</v>
      </c>
      <c r="J157" s="16">
        <v>0</v>
      </c>
      <c r="K157" s="16">
        <v>0</v>
      </c>
      <c r="L157" s="16">
        <v>0</v>
      </c>
      <c r="M157" s="16">
        <v>0</v>
      </c>
    </row>
    <row r="158" spans="1:13" x14ac:dyDescent="0.35">
      <c r="B158" s="16" t="s">
        <v>13</v>
      </c>
      <c r="D158" s="16">
        <v>2</v>
      </c>
      <c r="E158" s="16">
        <v>1</v>
      </c>
      <c r="F158" s="16">
        <v>3</v>
      </c>
      <c r="G158" s="16">
        <v>0</v>
      </c>
      <c r="H158" s="16">
        <v>0</v>
      </c>
      <c r="I158" s="16">
        <v>3</v>
      </c>
      <c r="J158" s="16">
        <v>0</v>
      </c>
      <c r="K158" s="16">
        <v>0</v>
      </c>
      <c r="L158" s="16">
        <v>0</v>
      </c>
      <c r="M158" s="16">
        <v>0</v>
      </c>
    </row>
    <row r="159" spans="1:13" x14ac:dyDescent="0.35">
      <c r="B159" s="16" t="s">
        <v>74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</row>
    <row r="161" spans="1:16" x14ac:dyDescent="0.35">
      <c r="A161" s="18" t="s">
        <v>79</v>
      </c>
      <c r="B161" s="20">
        <v>44643</v>
      </c>
      <c r="C161" s="16" t="s">
        <v>81</v>
      </c>
      <c r="D161" s="16" t="s">
        <v>3</v>
      </c>
      <c r="E161" s="16" t="s">
        <v>4</v>
      </c>
      <c r="F161" s="16" t="s">
        <v>10</v>
      </c>
      <c r="G161" s="16" t="s">
        <v>17</v>
      </c>
      <c r="H161" s="16" t="s">
        <v>19</v>
      </c>
      <c r="I161" s="16" t="s">
        <v>20</v>
      </c>
      <c r="J161" s="16" t="s">
        <v>21</v>
      </c>
      <c r="K161" s="16" t="s">
        <v>22</v>
      </c>
      <c r="L161" s="16" t="s">
        <v>23</v>
      </c>
      <c r="M161" s="16" t="s">
        <v>24</v>
      </c>
      <c r="N161" s="16" t="s">
        <v>15</v>
      </c>
    </row>
    <row r="162" spans="1:16" x14ac:dyDescent="0.35">
      <c r="A162" s="16" t="s">
        <v>5</v>
      </c>
      <c r="D162" s="16">
        <v>0</v>
      </c>
      <c r="E162" s="16">
        <v>0</v>
      </c>
      <c r="O162" s="16" t="s">
        <v>43</v>
      </c>
    </row>
    <row r="163" spans="1:16" x14ac:dyDescent="0.35">
      <c r="A163" s="16" t="s">
        <v>6</v>
      </c>
      <c r="B163" s="16" t="s">
        <v>11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O163" s="16" t="s">
        <v>44</v>
      </c>
    </row>
    <row r="164" spans="1:16" x14ac:dyDescent="0.35">
      <c r="B164" s="16" t="s">
        <v>72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O164" s="16" t="s">
        <v>45</v>
      </c>
    </row>
    <row r="165" spans="1:16" x14ac:dyDescent="0.35">
      <c r="B165" s="16" t="s">
        <v>18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O165" s="16" t="s">
        <v>46</v>
      </c>
    </row>
    <row r="166" spans="1:16" x14ac:dyDescent="0.35">
      <c r="B166" s="16" t="s">
        <v>13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</row>
    <row r="167" spans="1:16" x14ac:dyDescent="0.35">
      <c r="A167" s="16" t="s">
        <v>7</v>
      </c>
      <c r="B167" s="16" t="s">
        <v>11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O167" s="21"/>
      <c r="P167" s="21"/>
    </row>
    <row r="168" spans="1:16" x14ac:dyDescent="0.35">
      <c r="B168" s="16" t="s">
        <v>72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O168" s="21"/>
      <c r="P168" s="21"/>
    </row>
    <row r="169" spans="1:16" x14ac:dyDescent="0.35">
      <c r="B169" s="16" t="s">
        <v>18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</row>
    <row r="170" spans="1:16" x14ac:dyDescent="0.35">
      <c r="B170" s="16" t="s">
        <v>13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</row>
    <row r="171" spans="1:16" x14ac:dyDescent="0.35">
      <c r="A171" s="16" t="s">
        <v>8</v>
      </c>
      <c r="B171" s="16" t="s">
        <v>11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</row>
    <row r="172" spans="1:16" x14ac:dyDescent="0.35">
      <c r="B172" s="16" t="s">
        <v>72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</row>
    <row r="173" spans="1:16" x14ac:dyDescent="0.35">
      <c r="B173" s="16" t="s">
        <v>18</v>
      </c>
      <c r="D173" s="16">
        <v>1</v>
      </c>
      <c r="E173" s="16">
        <v>1</v>
      </c>
      <c r="F173" s="16">
        <v>1</v>
      </c>
      <c r="G173" s="16">
        <v>1</v>
      </c>
      <c r="H173" s="16">
        <v>0</v>
      </c>
      <c r="I173" s="16">
        <v>2</v>
      </c>
      <c r="J173" s="16">
        <v>0</v>
      </c>
      <c r="K173" s="16">
        <v>0</v>
      </c>
      <c r="L173" s="16">
        <v>0</v>
      </c>
      <c r="M173" s="16">
        <v>0</v>
      </c>
    </row>
    <row r="174" spans="1:16" x14ac:dyDescent="0.35">
      <c r="B174" s="16" t="s">
        <v>13</v>
      </c>
      <c r="D174" s="16">
        <v>2</v>
      </c>
      <c r="E174" s="16">
        <v>1</v>
      </c>
      <c r="F174" s="16">
        <v>3</v>
      </c>
      <c r="G174" s="16">
        <v>0</v>
      </c>
      <c r="H174" s="16">
        <v>0</v>
      </c>
      <c r="I174" s="16">
        <v>3</v>
      </c>
      <c r="J174" s="16">
        <v>0</v>
      </c>
      <c r="K174" s="16">
        <v>0</v>
      </c>
      <c r="L174" s="16">
        <v>0</v>
      </c>
      <c r="M174" s="16">
        <v>0</v>
      </c>
    </row>
    <row r="175" spans="1:16" x14ac:dyDescent="0.35">
      <c r="B175" s="16" t="s">
        <v>74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</row>
    <row r="176" spans="1:16" x14ac:dyDescent="0.35">
      <c r="A176" s="16" t="s">
        <v>9</v>
      </c>
      <c r="B176" s="16" t="s">
        <v>11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</row>
    <row r="177" spans="1:15" x14ac:dyDescent="0.35">
      <c r="B177" s="16" t="s">
        <v>72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</row>
    <row r="178" spans="1:15" x14ac:dyDescent="0.35">
      <c r="B178" s="16" t="s">
        <v>18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</row>
    <row r="179" spans="1:15" x14ac:dyDescent="0.35">
      <c r="B179" s="16" t="s">
        <v>13</v>
      </c>
      <c r="D179" s="16">
        <v>0</v>
      </c>
      <c r="E179" s="16">
        <v>1</v>
      </c>
      <c r="F179" s="16">
        <v>1</v>
      </c>
      <c r="G179" s="16">
        <v>0</v>
      </c>
      <c r="H179" s="16">
        <v>0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</row>
    <row r="180" spans="1:15" x14ac:dyDescent="0.35">
      <c r="B180" s="16" t="s">
        <v>74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</row>
    <row r="182" spans="1:15" x14ac:dyDescent="0.35">
      <c r="A182" s="18" t="s">
        <v>79</v>
      </c>
      <c r="B182" s="20">
        <v>44643</v>
      </c>
      <c r="C182" s="16" t="s">
        <v>82</v>
      </c>
      <c r="D182" s="16" t="s">
        <v>3</v>
      </c>
      <c r="E182" s="16" t="s">
        <v>4</v>
      </c>
      <c r="F182" s="16" t="s">
        <v>10</v>
      </c>
      <c r="G182" s="16" t="s">
        <v>17</v>
      </c>
      <c r="H182" s="16" t="s">
        <v>19</v>
      </c>
      <c r="I182" s="16" t="s">
        <v>20</v>
      </c>
      <c r="J182" s="16" t="s">
        <v>21</v>
      </c>
      <c r="K182" s="16" t="s">
        <v>22</v>
      </c>
      <c r="L182" s="16" t="s">
        <v>23</v>
      </c>
      <c r="M182" s="16" t="s">
        <v>24</v>
      </c>
      <c r="N182" s="16" t="s">
        <v>15</v>
      </c>
    </row>
    <row r="183" spans="1:15" x14ac:dyDescent="0.35">
      <c r="A183" s="16" t="s">
        <v>5</v>
      </c>
      <c r="D183" s="16">
        <v>0</v>
      </c>
      <c r="E183" s="16">
        <v>1</v>
      </c>
      <c r="N183" s="16">
        <v>12</v>
      </c>
      <c r="O183" s="16" t="s">
        <v>43</v>
      </c>
    </row>
    <row r="184" spans="1:15" x14ac:dyDescent="0.35">
      <c r="A184" s="16" t="s">
        <v>6</v>
      </c>
      <c r="B184" s="16" t="s">
        <v>11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2</v>
      </c>
      <c r="O184" s="16" t="s">
        <v>44</v>
      </c>
    </row>
    <row r="185" spans="1:15" x14ac:dyDescent="0.35">
      <c r="B185" s="16" t="s">
        <v>72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4</v>
      </c>
      <c r="O185" s="16" t="s">
        <v>45</v>
      </c>
    </row>
    <row r="186" spans="1:15" x14ac:dyDescent="0.35">
      <c r="B186" s="16" t="s">
        <v>18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3</v>
      </c>
      <c r="O186" s="16" t="s">
        <v>46</v>
      </c>
    </row>
    <row r="187" spans="1:15" x14ac:dyDescent="0.35">
      <c r="B187" s="16" t="s">
        <v>13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</row>
    <row r="188" spans="1:15" x14ac:dyDescent="0.35">
      <c r="A188" s="16" t="s">
        <v>7</v>
      </c>
      <c r="B188" s="16" t="s">
        <v>11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</row>
    <row r="189" spans="1:15" x14ac:dyDescent="0.35">
      <c r="B189" s="16" t="s">
        <v>72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</row>
    <row r="190" spans="1:15" x14ac:dyDescent="0.35">
      <c r="B190" s="16" t="s">
        <v>18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</row>
    <row r="191" spans="1:15" x14ac:dyDescent="0.35">
      <c r="B191" s="16" t="s">
        <v>13</v>
      </c>
      <c r="D191" s="16">
        <v>0</v>
      </c>
      <c r="E191" s="16">
        <v>3</v>
      </c>
      <c r="F191" s="16">
        <v>3</v>
      </c>
      <c r="G191" s="16">
        <v>0</v>
      </c>
      <c r="H191" s="16">
        <v>0</v>
      </c>
      <c r="I191" s="16">
        <v>0</v>
      </c>
      <c r="J191" s="16">
        <v>3</v>
      </c>
      <c r="K191" s="16">
        <v>0</v>
      </c>
      <c r="L191" s="16">
        <v>0</v>
      </c>
      <c r="M191" s="16">
        <v>0</v>
      </c>
    </row>
    <row r="192" spans="1:15" x14ac:dyDescent="0.35">
      <c r="A192" s="16" t="s">
        <v>8</v>
      </c>
      <c r="B192" s="16" t="s">
        <v>11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</row>
    <row r="193" spans="1:15" x14ac:dyDescent="0.35">
      <c r="B193" s="16" t="s">
        <v>72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</row>
    <row r="194" spans="1:15" x14ac:dyDescent="0.35">
      <c r="B194" s="16" t="s">
        <v>18</v>
      </c>
      <c r="D194" s="16">
        <v>1</v>
      </c>
      <c r="E194" s="16">
        <v>2</v>
      </c>
      <c r="F194" s="16">
        <v>3</v>
      </c>
      <c r="G194" s="16">
        <v>0</v>
      </c>
      <c r="H194" s="16">
        <v>0</v>
      </c>
      <c r="I194" s="16">
        <v>3</v>
      </c>
      <c r="J194" s="16">
        <v>0</v>
      </c>
      <c r="K194" s="16">
        <v>0</v>
      </c>
      <c r="L194" s="16">
        <v>0</v>
      </c>
      <c r="M194" s="16">
        <v>0</v>
      </c>
    </row>
    <row r="195" spans="1:15" x14ac:dyDescent="0.35">
      <c r="B195" s="16" t="s">
        <v>13</v>
      </c>
      <c r="D195" s="16">
        <v>3</v>
      </c>
      <c r="E195" s="16">
        <v>4</v>
      </c>
      <c r="F195" s="16">
        <v>6</v>
      </c>
      <c r="G195" s="16">
        <v>1</v>
      </c>
      <c r="H195" s="16">
        <v>0</v>
      </c>
      <c r="I195" s="16">
        <v>7</v>
      </c>
      <c r="J195" s="16">
        <v>0</v>
      </c>
      <c r="K195" s="16">
        <v>0</v>
      </c>
      <c r="L195" s="16">
        <v>0</v>
      </c>
      <c r="M195" s="16">
        <v>0</v>
      </c>
    </row>
    <row r="196" spans="1:15" x14ac:dyDescent="0.35">
      <c r="B196" s="16" t="s">
        <v>74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</row>
    <row r="197" spans="1:15" x14ac:dyDescent="0.35">
      <c r="A197" s="16" t="s">
        <v>9</v>
      </c>
      <c r="B197" s="16" t="s">
        <v>11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</row>
    <row r="198" spans="1:15" x14ac:dyDescent="0.35">
      <c r="B198" s="16" t="s">
        <v>72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</row>
    <row r="199" spans="1:15" x14ac:dyDescent="0.35">
      <c r="B199" s="16" t="s">
        <v>18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</row>
    <row r="200" spans="1:15" x14ac:dyDescent="0.35">
      <c r="B200" s="16" t="s">
        <v>13</v>
      </c>
      <c r="D200" s="16">
        <v>1</v>
      </c>
      <c r="E200" s="16">
        <v>1</v>
      </c>
      <c r="F200" s="16">
        <v>2</v>
      </c>
      <c r="G200" s="16">
        <v>0</v>
      </c>
      <c r="H200" s="16">
        <v>0</v>
      </c>
      <c r="I200" s="16">
        <v>2</v>
      </c>
      <c r="J200" s="16">
        <v>0</v>
      </c>
      <c r="K200" s="16">
        <v>0</v>
      </c>
      <c r="L200" s="16">
        <v>0</v>
      </c>
      <c r="M200" s="16">
        <v>0</v>
      </c>
    </row>
    <row r="201" spans="1:15" x14ac:dyDescent="0.35">
      <c r="B201" s="16" t="s">
        <v>74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</row>
    <row r="203" spans="1:15" x14ac:dyDescent="0.35">
      <c r="A203" s="18" t="s">
        <v>79</v>
      </c>
      <c r="B203" s="20">
        <v>44643</v>
      </c>
      <c r="C203" s="16" t="s">
        <v>62</v>
      </c>
      <c r="D203" s="16" t="s">
        <v>3</v>
      </c>
      <c r="E203" s="16" t="s">
        <v>4</v>
      </c>
      <c r="F203" s="16" t="s">
        <v>10</v>
      </c>
      <c r="G203" s="16" t="s">
        <v>17</v>
      </c>
      <c r="H203" s="16" t="s">
        <v>19</v>
      </c>
      <c r="I203" s="16" t="s">
        <v>20</v>
      </c>
      <c r="J203" s="16" t="s">
        <v>21</v>
      </c>
      <c r="K203" s="16" t="s">
        <v>22</v>
      </c>
      <c r="L203" s="16" t="s">
        <v>23</v>
      </c>
      <c r="M203" s="16" t="s">
        <v>24</v>
      </c>
      <c r="N203" s="16" t="s">
        <v>15</v>
      </c>
    </row>
    <row r="204" spans="1:15" x14ac:dyDescent="0.35">
      <c r="A204" s="16" t="s">
        <v>5</v>
      </c>
      <c r="D204" s="16">
        <v>0</v>
      </c>
      <c r="E204" s="16">
        <v>1</v>
      </c>
      <c r="N204" s="16">
        <v>10</v>
      </c>
      <c r="O204" s="16" t="s">
        <v>43</v>
      </c>
    </row>
    <row r="205" spans="1:15" x14ac:dyDescent="0.35">
      <c r="A205" s="16" t="s">
        <v>6</v>
      </c>
      <c r="B205" s="16" t="s">
        <v>11</v>
      </c>
      <c r="D205" s="16">
        <v>2</v>
      </c>
      <c r="E205" s="16">
        <v>0</v>
      </c>
      <c r="F205" s="16">
        <v>0</v>
      </c>
      <c r="G205" s="16">
        <v>2</v>
      </c>
      <c r="H205" s="16">
        <v>0</v>
      </c>
      <c r="I205" s="16">
        <v>0</v>
      </c>
      <c r="J205" s="16">
        <v>2</v>
      </c>
      <c r="K205" s="16">
        <v>0</v>
      </c>
      <c r="L205" s="16">
        <v>0</v>
      </c>
      <c r="M205" s="16">
        <v>0</v>
      </c>
      <c r="N205" s="16">
        <v>2</v>
      </c>
      <c r="O205" s="16" t="s">
        <v>44</v>
      </c>
    </row>
    <row r="206" spans="1:15" x14ac:dyDescent="0.35">
      <c r="B206" s="16" t="s">
        <v>72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4</v>
      </c>
      <c r="O206" s="16" t="s">
        <v>45</v>
      </c>
    </row>
    <row r="207" spans="1:15" x14ac:dyDescent="0.35">
      <c r="B207" s="16" t="s">
        <v>18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2.5</v>
      </c>
      <c r="O207" s="16" t="s">
        <v>46</v>
      </c>
    </row>
    <row r="208" spans="1:15" x14ac:dyDescent="0.35">
      <c r="B208" s="16" t="s">
        <v>13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</row>
    <row r="209" spans="1:13" x14ac:dyDescent="0.35">
      <c r="A209" s="16" t="s">
        <v>7</v>
      </c>
      <c r="B209" s="16" t="s">
        <v>11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</row>
    <row r="210" spans="1:13" x14ac:dyDescent="0.35">
      <c r="B210" s="16" t="s">
        <v>72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</row>
    <row r="211" spans="1:13" x14ac:dyDescent="0.35">
      <c r="B211" s="16" t="s">
        <v>18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</row>
    <row r="212" spans="1:13" x14ac:dyDescent="0.35">
      <c r="B212" s="16" t="s">
        <v>13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</row>
    <row r="213" spans="1:13" x14ac:dyDescent="0.35">
      <c r="A213" s="16" t="s">
        <v>8</v>
      </c>
      <c r="B213" s="16" t="s">
        <v>11</v>
      </c>
      <c r="D213" s="16">
        <v>2</v>
      </c>
      <c r="E213" s="16">
        <v>2</v>
      </c>
      <c r="F213" s="16">
        <v>2</v>
      </c>
      <c r="G213" s="16">
        <v>2</v>
      </c>
      <c r="H213" s="16">
        <v>0</v>
      </c>
      <c r="I213" s="16">
        <v>0</v>
      </c>
      <c r="J213" s="16">
        <v>4</v>
      </c>
      <c r="K213" s="16">
        <v>0</v>
      </c>
      <c r="L213" s="16">
        <v>0</v>
      </c>
      <c r="M213" s="16">
        <v>0</v>
      </c>
    </row>
    <row r="214" spans="1:13" x14ac:dyDescent="0.35">
      <c r="B214" s="16" t="s">
        <v>72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</row>
    <row r="215" spans="1:13" x14ac:dyDescent="0.35">
      <c r="B215" s="16" t="s">
        <v>18</v>
      </c>
      <c r="D215" s="16">
        <v>2</v>
      </c>
      <c r="E215" s="16">
        <v>3</v>
      </c>
      <c r="F215" s="16">
        <v>5</v>
      </c>
      <c r="G215" s="16">
        <v>0</v>
      </c>
      <c r="H215" s="16">
        <v>0</v>
      </c>
      <c r="I215" s="16">
        <v>5</v>
      </c>
      <c r="J215" s="16">
        <v>0</v>
      </c>
      <c r="K215" s="16">
        <v>0</v>
      </c>
      <c r="L215" s="16">
        <v>0</v>
      </c>
      <c r="M215" s="16">
        <v>0</v>
      </c>
    </row>
    <row r="216" spans="1:13" x14ac:dyDescent="0.35">
      <c r="B216" s="16" t="s">
        <v>13</v>
      </c>
      <c r="D216" s="16">
        <v>1</v>
      </c>
      <c r="E216" s="16">
        <v>1</v>
      </c>
      <c r="F216" s="16">
        <v>2</v>
      </c>
      <c r="G216" s="16">
        <v>0</v>
      </c>
      <c r="H216" s="16">
        <v>0</v>
      </c>
      <c r="I216" s="16">
        <v>2</v>
      </c>
      <c r="J216" s="16">
        <v>0</v>
      </c>
      <c r="K216" s="16">
        <v>0</v>
      </c>
      <c r="L216" s="16">
        <v>0</v>
      </c>
      <c r="M216" s="16">
        <v>0</v>
      </c>
    </row>
    <row r="217" spans="1:13" x14ac:dyDescent="0.35">
      <c r="B217" s="16" t="s">
        <v>74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</row>
    <row r="218" spans="1:13" x14ac:dyDescent="0.35">
      <c r="A218" s="16" t="s">
        <v>9</v>
      </c>
      <c r="B218" s="16" t="s">
        <v>11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</row>
    <row r="219" spans="1:13" x14ac:dyDescent="0.35">
      <c r="B219" s="16" t="s">
        <v>72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</row>
    <row r="220" spans="1:13" x14ac:dyDescent="0.35">
      <c r="B220" s="16" t="s">
        <v>18</v>
      </c>
      <c r="D220" s="16">
        <v>1</v>
      </c>
      <c r="E220" s="16">
        <v>0</v>
      </c>
      <c r="F220" s="16">
        <v>1</v>
      </c>
      <c r="G220" s="16">
        <v>0</v>
      </c>
      <c r="H220" s="16">
        <v>0</v>
      </c>
      <c r="I220" s="16">
        <v>1</v>
      </c>
      <c r="J220" s="16">
        <v>0</v>
      </c>
      <c r="K220" s="16">
        <v>0</v>
      </c>
      <c r="L220" s="16">
        <v>0</v>
      </c>
      <c r="M220" s="16">
        <v>0</v>
      </c>
    </row>
    <row r="221" spans="1:13" x14ac:dyDescent="0.35">
      <c r="B221" s="16" t="s">
        <v>13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</row>
    <row r="222" spans="1:13" x14ac:dyDescent="0.35">
      <c r="B222" s="16" t="s">
        <v>74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</row>
  </sheetData>
  <mergeCells count="2">
    <mergeCell ref="AJ2:AN2"/>
    <mergeCell ref="S34:AA3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1FE71-BC4C-4BAA-8D4B-498242758B68}">
  <sheetPr>
    <tabColor theme="7"/>
  </sheetPr>
  <dimension ref="A1:AN222"/>
  <sheetViews>
    <sheetView zoomScale="70" zoomScaleNormal="70" workbookViewId="0">
      <selection activeCell="C18" sqref="C18"/>
    </sheetView>
  </sheetViews>
  <sheetFormatPr defaultRowHeight="14.5" x14ac:dyDescent="0.35"/>
  <cols>
    <col min="1" max="1" width="21.90625" style="16" bestFit="1" customWidth="1"/>
    <col min="2" max="2" width="14.6328125" style="16" bestFit="1" customWidth="1"/>
    <col min="3" max="3" width="21.36328125" style="16" bestFit="1" customWidth="1"/>
    <col min="4" max="4" width="6.81640625" style="16" bestFit="1" customWidth="1"/>
    <col min="5" max="5" width="6.36328125" style="16" bestFit="1" customWidth="1"/>
    <col min="6" max="6" width="5.81640625" style="16" bestFit="1" customWidth="1"/>
    <col min="7" max="7" width="13.7265625" style="16" bestFit="1" customWidth="1"/>
    <col min="8" max="8" width="9.1796875" style="16" bestFit="1" customWidth="1"/>
    <col min="9" max="9" width="7.453125" style="16" bestFit="1" customWidth="1"/>
    <col min="10" max="10" width="8.08984375" style="16" bestFit="1" customWidth="1"/>
    <col min="11" max="11" width="11.90625" style="16" bestFit="1" customWidth="1"/>
    <col min="12" max="12" width="10.08984375" style="16" bestFit="1" customWidth="1"/>
    <col min="13" max="13" width="26" style="16" bestFit="1" customWidth="1"/>
    <col min="14" max="14" width="7.1796875" style="16" bestFit="1" customWidth="1"/>
    <col min="15" max="15" width="6.08984375" style="16" customWidth="1"/>
    <col min="16" max="16" width="8.7265625" style="16"/>
    <col min="17" max="17" width="17.08984375" style="16" bestFit="1" customWidth="1"/>
    <col min="18" max="18" width="15.54296875" style="16" bestFit="1" customWidth="1"/>
    <col min="19" max="19" width="12.08984375" style="16" bestFit="1" customWidth="1"/>
    <col min="20" max="20" width="10.54296875" style="16" bestFit="1" customWidth="1"/>
    <col min="21" max="21" width="10.6328125" style="16" bestFit="1" customWidth="1"/>
    <col min="22" max="22" width="6.6328125" style="16" bestFit="1" customWidth="1"/>
    <col min="23" max="25" width="8.7265625" style="16"/>
    <col min="26" max="26" width="14.6328125" style="16" bestFit="1" customWidth="1"/>
    <col min="27" max="35" width="8.7265625" style="16"/>
    <col min="36" max="36" width="47.26953125" style="16" bestFit="1" customWidth="1"/>
    <col min="37" max="37" width="42.36328125" style="16" bestFit="1" customWidth="1"/>
    <col min="38" max="38" width="46.08984375" style="16" bestFit="1" customWidth="1"/>
    <col min="39" max="40" width="46.453125" style="16" bestFit="1" customWidth="1"/>
    <col min="41" max="16384" width="8.7265625" style="16"/>
  </cols>
  <sheetData>
    <row r="1" spans="1:40" ht="54" customHeight="1" thickBot="1" x14ac:dyDescent="0.4">
      <c r="A1" s="51" t="s">
        <v>133</v>
      </c>
      <c r="B1" s="13"/>
      <c r="C1" s="13"/>
      <c r="D1" s="35" t="s">
        <v>3</v>
      </c>
      <c r="E1" s="35" t="s">
        <v>4</v>
      </c>
      <c r="F1" s="35" t="s">
        <v>10</v>
      </c>
      <c r="G1" s="35" t="s">
        <v>17</v>
      </c>
      <c r="H1" s="35" t="s">
        <v>19</v>
      </c>
      <c r="I1" s="35" t="s">
        <v>20</v>
      </c>
      <c r="J1" s="35" t="s">
        <v>21</v>
      </c>
      <c r="K1" s="35" t="s">
        <v>22</v>
      </c>
      <c r="L1" s="35" t="s">
        <v>23</v>
      </c>
      <c r="M1" s="35" t="s">
        <v>24</v>
      </c>
      <c r="N1" s="53"/>
      <c r="O1" s="53"/>
      <c r="P1" s="53"/>
      <c r="Q1" s="53"/>
    </row>
    <row r="2" spans="1:40" ht="15" thickBot="1" x14ac:dyDescent="0.4">
      <c r="A2" s="36"/>
      <c r="B2" s="36"/>
      <c r="C2" s="63" t="s">
        <v>68</v>
      </c>
      <c r="D2" s="37">
        <f>(SUM(D37:D54)/($N$54-$C$36))</f>
        <v>0.44444444444444442</v>
      </c>
      <c r="E2" s="37">
        <f t="shared" ref="E2:M2" si="0">(SUM(E37:E54)/($N$54-$C$36))</f>
        <v>0.55555555555555558</v>
      </c>
      <c r="F2" s="37">
        <f t="shared" si="0"/>
        <v>0.96296296296296291</v>
      </c>
      <c r="G2" s="37">
        <f t="shared" si="0"/>
        <v>3.7037037037037035E-2</v>
      </c>
      <c r="H2" s="37">
        <f t="shared" si="0"/>
        <v>1.4814814814814815E-2</v>
      </c>
      <c r="I2" s="37">
        <f t="shared" si="0"/>
        <v>0.83703703703703702</v>
      </c>
      <c r="J2" s="37">
        <f t="shared" si="0"/>
        <v>0.14814814814814814</v>
      </c>
      <c r="K2" s="37">
        <f t="shared" si="0"/>
        <v>1.4814814814814815E-2</v>
      </c>
      <c r="L2" s="37">
        <f t="shared" si="0"/>
        <v>0</v>
      </c>
      <c r="M2" s="37">
        <f t="shared" si="0"/>
        <v>7.4074074074074077E-3</v>
      </c>
      <c r="N2" s="53"/>
      <c r="O2" s="53"/>
      <c r="P2" s="53"/>
      <c r="Q2" s="53"/>
      <c r="AJ2" s="91" t="s">
        <v>122</v>
      </c>
      <c r="AK2" s="92"/>
      <c r="AL2" s="92"/>
      <c r="AM2" s="92"/>
      <c r="AN2" s="93"/>
    </row>
    <row r="3" spans="1:40" x14ac:dyDescent="0.35">
      <c r="A3" s="36"/>
      <c r="B3" s="36"/>
      <c r="C3" s="63" t="s">
        <v>67</v>
      </c>
      <c r="D3" s="38">
        <f>SUM(D37:D54)</f>
        <v>60</v>
      </c>
      <c r="E3" s="38">
        <f t="shared" ref="E3:M3" si="1">SUM(E37:E54)</f>
        <v>75</v>
      </c>
      <c r="F3" s="38">
        <f t="shared" si="1"/>
        <v>130</v>
      </c>
      <c r="G3" s="38">
        <f t="shared" si="1"/>
        <v>5</v>
      </c>
      <c r="H3" s="38">
        <f t="shared" si="1"/>
        <v>2</v>
      </c>
      <c r="I3" s="38">
        <f t="shared" si="1"/>
        <v>113</v>
      </c>
      <c r="J3" s="38">
        <f t="shared" si="1"/>
        <v>20</v>
      </c>
      <c r="K3" s="38">
        <f t="shared" si="1"/>
        <v>2</v>
      </c>
      <c r="L3" s="38">
        <f t="shared" si="1"/>
        <v>0</v>
      </c>
      <c r="M3" s="38">
        <f t="shared" si="1"/>
        <v>1</v>
      </c>
      <c r="N3" s="53"/>
      <c r="O3" s="53"/>
      <c r="P3" s="53"/>
      <c r="Q3" s="53"/>
      <c r="AJ3" s="34" t="s">
        <v>96</v>
      </c>
      <c r="AK3" s="34" t="s">
        <v>86</v>
      </c>
      <c r="AL3" s="34" t="s">
        <v>97</v>
      </c>
      <c r="AM3" s="34" t="s">
        <v>98</v>
      </c>
      <c r="AN3" s="34" t="s">
        <v>99</v>
      </c>
    </row>
    <row r="4" spans="1:40" x14ac:dyDescent="0.35">
      <c r="A4" s="39" t="s">
        <v>68</v>
      </c>
      <c r="B4" s="40" t="s">
        <v>73</v>
      </c>
      <c r="C4" s="39">
        <f>C9/($N$54-$C$36)</f>
        <v>7.407407407407407E-2</v>
      </c>
      <c r="D4" s="39">
        <f>D9/(D9+E9)</f>
        <v>0.2</v>
      </c>
      <c r="E4" s="39">
        <f>E9/(D9+E9)</f>
        <v>0.8</v>
      </c>
      <c r="F4" s="39">
        <f>F9/(F9+G9)</f>
        <v>1</v>
      </c>
      <c r="G4" s="39">
        <f>G9/(F9+G9)</f>
        <v>0</v>
      </c>
      <c r="H4" s="39">
        <f>H9/(H9+I9+J9)</f>
        <v>0</v>
      </c>
      <c r="I4" s="41">
        <f>I9/(H9+I9+J9)</f>
        <v>0</v>
      </c>
      <c r="J4" s="39">
        <f>J9/(H9+I9+J9)</f>
        <v>1</v>
      </c>
      <c r="K4" s="39">
        <f>K9/C9</f>
        <v>0</v>
      </c>
      <c r="L4" s="39">
        <f>L9/C9</f>
        <v>0</v>
      </c>
      <c r="M4" s="41"/>
      <c r="N4" s="53"/>
      <c r="O4" s="53"/>
      <c r="P4" s="53"/>
      <c r="Q4" s="53"/>
    </row>
    <row r="5" spans="1:40" x14ac:dyDescent="0.35">
      <c r="A5" s="39"/>
      <c r="B5" s="40" t="s">
        <v>72</v>
      </c>
      <c r="C5" s="39">
        <v>0</v>
      </c>
      <c r="D5" s="39"/>
      <c r="E5" s="39"/>
      <c r="F5" s="39"/>
      <c r="G5" s="39"/>
      <c r="H5" s="39"/>
      <c r="I5" s="41"/>
      <c r="J5" s="39"/>
      <c r="K5" s="39"/>
      <c r="L5" s="39"/>
      <c r="M5" s="41"/>
      <c r="N5" s="53"/>
      <c r="O5" s="53"/>
      <c r="P5" s="53"/>
      <c r="Q5" s="53"/>
    </row>
    <row r="6" spans="1:40" x14ac:dyDescent="0.35">
      <c r="A6" s="39"/>
      <c r="B6" s="40" t="s">
        <v>18</v>
      </c>
      <c r="C6" s="39">
        <f t="shared" ref="C6:C8" si="2">C11/($N$54-$C$36)</f>
        <v>0.29629629629629628</v>
      </c>
      <c r="D6" s="39">
        <f>D11/(D11+E11)</f>
        <v>0.625</v>
      </c>
      <c r="E6" s="39">
        <f t="shared" ref="E6:E8" si="3">E11/(D11+E11)</f>
        <v>0.375</v>
      </c>
      <c r="F6" s="39">
        <f t="shared" ref="F6:F8" si="4">F11/(F11+G11)</f>
        <v>1</v>
      </c>
      <c r="G6" s="39">
        <f t="shared" ref="G6:G8" si="5">G11/(F11+G11)</f>
        <v>0</v>
      </c>
      <c r="H6" s="39">
        <f t="shared" ref="H6:H8" si="6">H11/(H11+I11+J11)</f>
        <v>0</v>
      </c>
      <c r="I6" s="39">
        <f t="shared" ref="I6:I8" si="7">I11/(H11+I11+J11)</f>
        <v>1</v>
      </c>
      <c r="J6" s="39">
        <f t="shared" ref="J6:J8" si="8">J11/(H11+I11+J11)</f>
        <v>0</v>
      </c>
      <c r="K6" s="39">
        <f t="shared" ref="K6:K8" si="9">K11/C11</f>
        <v>0</v>
      </c>
      <c r="L6" s="39">
        <f t="shared" ref="L6:L8" si="10">L11/C11</f>
        <v>0</v>
      </c>
      <c r="M6" s="41"/>
      <c r="N6" s="53"/>
      <c r="O6" s="53"/>
      <c r="P6" s="53"/>
      <c r="Q6" s="53"/>
    </row>
    <row r="7" spans="1:40" x14ac:dyDescent="0.35">
      <c r="A7" s="40"/>
      <c r="B7" s="40" t="s">
        <v>75</v>
      </c>
      <c r="C7" s="39">
        <f t="shared" si="2"/>
        <v>0.61481481481481481</v>
      </c>
      <c r="D7" s="39">
        <f t="shared" ref="D7:D8" si="11">D12/(D12+E12)</f>
        <v>0.38554216867469882</v>
      </c>
      <c r="E7" s="39">
        <f t="shared" si="3"/>
        <v>0.61445783132530118</v>
      </c>
      <c r="F7" s="39">
        <f t="shared" si="4"/>
        <v>0.93975903614457834</v>
      </c>
      <c r="G7" s="39">
        <f t="shared" si="5"/>
        <v>6.0240963855421686E-2</v>
      </c>
      <c r="H7" s="39">
        <f t="shared" si="6"/>
        <v>0</v>
      </c>
      <c r="I7" s="39">
        <f t="shared" si="7"/>
        <v>0.87951807228915657</v>
      </c>
      <c r="J7" s="39">
        <f t="shared" si="8"/>
        <v>0.12048192771084337</v>
      </c>
      <c r="K7" s="39">
        <f t="shared" si="9"/>
        <v>2.4096385542168676E-2</v>
      </c>
      <c r="L7" s="39">
        <f t="shared" si="10"/>
        <v>0</v>
      </c>
      <c r="M7" s="41"/>
      <c r="N7" s="53"/>
      <c r="O7" s="53"/>
      <c r="P7" s="53"/>
      <c r="Q7" s="53"/>
    </row>
    <row r="8" spans="1:40" x14ac:dyDescent="0.35">
      <c r="A8" s="40"/>
      <c r="B8" s="40" t="s">
        <v>74</v>
      </c>
      <c r="C8" s="39">
        <f t="shared" si="2"/>
        <v>1.4814814814814815E-2</v>
      </c>
      <c r="D8" s="39">
        <f t="shared" si="11"/>
        <v>0.5</v>
      </c>
      <c r="E8" s="39">
        <f t="shared" si="3"/>
        <v>0.5</v>
      </c>
      <c r="F8" s="39">
        <f t="shared" si="4"/>
        <v>1</v>
      </c>
      <c r="G8" s="39">
        <f t="shared" si="5"/>
        <v>0</v>
      </c>
      <c r="H8" s="39">
        <f t="shared" si="6"/>
        <v>1</v>
      </c>
      <c r="I8" s="39">
        <f t="shared" si="7"/>
        <v>0</v>
      </c>
      <c r="J8" s="39">
        <f t="shared" si="8"/>
        <v>0</v>
      </c>
      <c r="K8" s="39">
        <f t="shared" si="9"/>
        <v>0</v>
      </c>
      <c r="L8" s="39">
        <f t="shared" si="10"/>
        <v>0</v>
      </c>
      <c r="M8" s="41"/>
      <c r="N8" s="53"/>
      <c r="O8" s="53"/>
      <c r="P8" s="53"/>
      <c r="Q8" s="53"/>
    </row>
    <row r="9" spans="1:40" x14ac:dyDescent="0.35">
      <c r="A9" s="42" t="s">
        <v>67</v>
      </c>
      <c r="B9" s="43" t="s">
        <v>11</v>
      </c>
      <c r="C9" s="44">
        <f>D9+E9</f>
        <v>10</v>
      </c>
      <c r="D9" s="45">
        <f>D16+D20+D24+D29</f>
        <v>2</v>
      </c>
      <c r="E9" s="45">
        <f t="shared" ref="E9:M9" si="12">E16+E20+E24+E29</f>
        <v>8</v>
      </c>
      <c r="F9" s="45">
        <f t="shared" si="12"/>
        <v>10</v>
      </c>
      <c r="G9" s="45">
        <f t="shared" si="12"/>
        <v>0</v>
      </c>
      <c r="H9" s="45">
        <f t="shared" si="12"/>
        <v>0</v>
      </c>
      <c r="I9" s="45">
        <f t="shared" si="12"/>
        <v>0</v>
      </c>
      <c r="J9" s="45">
        <f t="shared" si="12"/>
        <v>10</v>
      </c>
      <c r="K9" s="45">
        <f t="shared" si="12"/>
        <v>0</v>
      </c>
      <c r="L9" s="45">
        <f t="shared" si="12"/>
        <v>0</v>
      </c>
      <c r="M9" s="45">
        <f t="shared" si="12"/>
        <v>0</v>
      </c>
      <c r="N9" s="53"/>
      <c r="O9" s="53"/>
      <c r="P9" s="53"/>
      <c r="Q9" s="53"/>
    </row>
    <row r="10" spans="1:40" x14ac:dyDescent="0.35">
      <c r="A10" s="42"/>
      <c r="B10" s="43" t="s">
        <v>72</v>
      </c>
      <c r="C10" s="44">
        <f t="shared" ref="C10:C13" si="13">D10+E10</f>
        <v>0</v>
      </c>
      <c r="D10" s="45">
        <f t="shared" ref="D10:M12" si="14">D17+D21+D25+D30</f>
        <v>0</v>
      </c>
      <c r="E10" s="45">
        <f t="shared" si="14"/>
        <v>0</v>
      </c>
      <c r="F10" s="45">
        <f t="shared" si="14"/>
        <v>0</v>
      </c>
      <c r="G10" s="45">
        <f t="shared" si="14"/>
        <v>0</v>
      </c>
      <c r="H10" s="45">
        <f t="shared" si="14"/>
        <v>0</v>
      </c>
      <c r="I10" s="45">
        <f t="shared" si="14"/>
        <v>0</v>
      </c>
      <c r="J10" s="45">
        <f t="shared" si="14"/>
        <v>0</v>
      </c>
      <c r="K10" s="45">
        <f t="shared" si="14"/>
        <v>0</v>
      </c>
      <c r="L10" s="45">
        <f t="shared" si="14"/>
        <v>0</v>
      </c>
      <c r="M10" s="45">
        <f t="shared" si="14"/>
        <v>0</v>
      </c>
      <c r="N10" s="53"/>
      <c r="O10" s="53"/>
      <c r="P10" s="53"/>
      <c r="Q10" s="53"/>
    </row>
    <row r="11" spans="1:40" x14ac:dyDescent="0.35">
      <c r="A11" s="42"/>
      <c r="B11" s="43" t="s">
        <v>18</v>
      </c>
      <c r="C11" s="44">
        <f t="shared" si="13"/>
        <v>40</v>
      </c>
      <c r="D11" s="45">
        <f t="shared" si="14"/>
        <v>25</v>
      </c>
      <c r="E11" s="45">
        <f t="shared" si="14"/>
        <v>15</v>
      </c>
      <c r="F11" s="45">
        <f t="shared" si="14"/>
        <v>40</v>
      </c>
      <c r="G11" s="45">
        <f t="shared" si="14"/>
        <v>0</v>
      </c>
      <c r="H11" s="45">
        <f t="shared" si="14"/>
        <v>0</v>
      </c>
      <c r="I11" s="45">
        <f t="shared" si="14"/>
        <v>40</v>
      </c>
      <c r="J11" s="45">
        <f t="shared" si="14"/>
        <v>0</v>
      </c>
      <c r="K11" s="45">
        <f t="shared" si="14"/>
        <v>0</v>
      </c>
      <c r="L11" s="45">
        <f t="shared" si="14"/>
        <v>0</v>
      </c>
      <c r="M11" s="45">
        <f t="shared" si="14"/>
        <v>1</v>
      </c>
      <c r="N11" s="53"/>
      <c r="O11" s="53"/>
      <c r="P11" s="53"/>
      <c r="Q11" s="53"/>
    </row>
    <row r="12" spans="1:40" x14ac:dyDescent="0.35">
      <c r="A12" s="43"/>
      <c r="B12" s="43" t="s">
        <v>13</v>
      </c>
      <c r="C12" s="44">
        <f t="shared" si="13"/>
        <v>83</v>
      </c>
      <c r="D12" s="45">
        <f t="shared" si="14"/>
        <v>32</v>
      </c>
      <c r="E12" s="45">
        <f t="shared" si="14"/>
        <v>51</v>
      </c>
      <c r="F12" s="45">
        <f t="shared" si="14"/>
        <v>78</v>
      </c>
      <c r="G12" s="45">
        <f t="shared" si="14"/>
        <v>5</v>
      </c>
      <c r="H12" s="45">
        <f t="shared" si="14"/>
        <v>0</v>
      </c>
      <c r="I12" s="45">
        <f t="shared" si="14"/>
        <v>73</v>
      </c>
      <c r="J12" s="45">
        <f t="shared" si="14"/>
        <v>10</v>
      </c>
      <c r="K12" s="45">
        <f t="shared" si="14"/>
        <v>2</v>
      </c>
      <c r="L12" s="45">
        <f t="shared" si="14"/>
        <v>0</v>
      </c>
      <c r="M12" s="45">
        <f t="shared" si="14"/>
        <v>0</v>
      </c>
      <c r="N12" s="53"/>
      <c r="O12" s="53"/>
      <c r="P12" s="53"/>
      <c r="Q12" s="53"/>
    </row>
    <row r="13" spans="1:40" x14ac:dyDescent="0.35">
      <c r="A13" s="43"/>
      <c r="B13" s="43" t="s">
        <v>74</v>
      </c>
      <c r="C13" s="44">
        <f t="shared" si="13"/>
        <v>2</v>
      </c>
      <c r="D13" s="45">
        <f>D28+D33</f>
        <v>1</v>
      </c>
      <c r="E13" s="45">
        <f t="shared" ref="E13:M13" si="15">E28+E33</f>
        <v>1</v>
      </c>
      <c r="F13" s="45">
        <f t="shared" si="15"/>
        <v>2</v>
      </c>
      <c r="G13" s="45">
        <f t="shared" si="15"/>
        <v>0</v>
      </c>
      <c r="H13" s="45">
        <f t="shared" si="15"/>
        <v>2</v>
      </c>
      <c r="I13" s="45">
        <f t="shared" si="15"/>
        <v>0</v>
      </c>
      <c r="J13" s="45">
        <f t="shared" si="15"/>
        <v>0</v>
      </c>
      <c r="K13" s="45">
        <f t="shared" si="15"/>
        <v>0</v>
      </c>
      <c r="L13" s="45">
        <f t="shared" si="15"/>
        <v>0</v>
      </c>
      <c r="M13" s="45">
        <f t="shared" si="15"/>
        <v>0</v>
      </c>
      <c r="N13" s="53"/>
      <c r="O13" s="53"/>
      <c r="P13" s="53"/>
      <c r="Q13" s="53"/>
    </row>
    <row r="14" spans="1:40" x14ac:dyDescent="0.35">
      <c r="A14" s="13" t="s">
        <v>5</v>
      </c>
      <c r="B14" s="13"/>
      <c r="C14" s="50" t="s">
        <v>132</v>
      </c>
      <c r="D14" s="35" t="s">
        <v>3</v>
      </c>
      <c r="E14" s="35" t="s">
        <v>4</v>
      </c>
      <c r="F14" s="35" t="s">
        <v>10</v>
      </c>
      <c r="G14" s="35" t="s">
        <v>17</v>
      </c>
      <c r="H14" s="35" t="s">
        <v>19</v>
      </c>
      <c r="I14" s="35" t="s">
        <v>20</v>
      </c>
      <c r="J14" s="35" t="s">
        <v>21</v>
      </c>
      <c r="K14" s="35" t="s">
        <v>22</v>
      </c>
      <c r="L14" s="35" t="s">
        <v>23</v>
      </c>
      <c r="M14" s="35" t="s">
        <v>24</v>
      </c>
      <c r="N14" s="53"/>
      <c r="O14" s="53"/>
      <c r="P14" s="53"/>
      <c r="Q14" s="53"/>
    </row>
    <row r="15" spans="1:40" x14ac:dyDescent="0.35">
      <c r="A15" s="14">
        <f>C36/$N$54</f>
        <v>2.1739130434782608E-2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53"/>
      <c r="O15" s="53"/>
      <c r="P15" s="53"/>
      <c r="Q15" s="53"/>
    </row>
    <row r="16" spans="1:40" x14ac:dyDescent="0.35">
      <c r="A16" s="43" t="s">
        <v>6</v>
      </c>
      <c r="B16" s="43" t="s">
        <v>11</v>
      </c>
      <c r="C16" s="43" t="s">
        <v>131</v>
      </c>
      <c r="D16" s="43">
        <f>D37</f>
        <v>0</v>
      </c>
      <c r="E16" s="43">
        <f t="shared" ref="E16:M16" si="16">E37</f>
        <v>0</v>
      </c>
      <c r="F16" s="43">
        <f t="shared" si="16"/>
        <v>0</v>
      </c>
      <c r="G16" s="43">
        <f t="shared" si="16"/>
        <v>0</v>
      </c>
      <c r="H16" s="43">
        <f t="shared" si="16"/>
        <v>0</v>
      </c>
      <c r="I16" s="43">
        <f t="shared" si="16"/>
        <v>0</v>
      </c>
      <c r="J16" s="43">
        <f t="shared" si="16"/>
        <v>0</v>
      </c>
      <c r="K16" s="43">
        <f t="shared" si="16"/>
        <v>0</v>
      </c>
      <c r="L16" s="43">
        <f t="shared" si="16"/>
        <v>0</v>
      </c>
      <c r="M16" s="43">
        <f t="shared" si="16"/>
        <v>0</v>
      </c>
      <c r="N16" s="53"/>
      <c r="O16" s="53"/>
      <c r="P16" s="53"/>
      <c r="Q16" s="53"/>
    </row>
    <row r="17" spans="1:17" x14ac:dyDescent="0.35">
      <c r="A17" s="42">
        <f>(D37+E37+D38+E38+D39+E39+D40+E40)/N54</f>
        <v>5.0724637681159424E-2</v>
      </c>
      <c r="B17" s="43" t="s">
        <v>72</v>
      </c>
      <c r="C17" s="43" t="s">
        <v>131</v>
      </c>
      <c r="D17" s="43">
        <f t="shared" ref="D17:M32" si="17">D38</f>
        <v>0</v>
      </c>
      <c r="E17" s="43">
        <f t="shared" si="17"/>
        <v>0</v>
      </c>
      <c r="F17" s="43">
        <f t="shared" si="17"/>
        <v>0</v>
      </c>
      <c r="G17" s="43">
        <f t="shared" si="17"/>
        <v>0</v>
      </c>
      <c r="H17" s="43">
        <f t="shared" si="17"/>
        <v>0</v>
      </c>
      <c r="I17" s="43">
        <f t="shared" si="17"/>
        <v>0</v>
      </c>
      <c r="J17" s="43">
        <f t="shared" si="17"/>
        <v>0</v>
      </c>
      <c r="K17" s="43">
        <f t="shared" si="17"/>
        <v>0</v>
      </c>
      <c r="L17" s="43">
        <f t="shared" si="17"/>
        <v>0</v>
      </c>
      <c r="M17" s="43">
        <f t="shared" si="17"/>
        <v>0</v>
      </c>
      <c r="N17" s="53"/>
      <c r="O17" s="53"/>
      <c r="P17" s="53"/>
      <c r="Q17" s="53"/>
    </row>
    <row r="18" spans="1:17" x14ac:dyDescent="0.35">
      <c r="A18" s="43"/>
      <c r="B18" s="43" t="s">
        <v>18</v>
      </c>
      <c r="C18" s="43" t="s">
        <v>131</v>
      </c>
      <c r="D18" s="43">
        <f t="shared" si="17"/>
        <v>0</v>
      </c>
      <c r="E18" s="43">
        <f t="shared" si="17"/>
        <v>1</v>
      </c>
      <c r="F18" s="43">
        <f t="shared" si="17"/>
        <v>1</v>
      </c>
      <c r="G18" s="43">
        <f t="shared" si="17"/>
        <v>0</v>
      </c>
      <c r="H18" s="43">
        <f t="shared" si="17"/>
        <v>0</v>
      </c>
      <c r="I18" s="43">
        <f t="shared" si="17"/>
        <v>1</v>
      </c>
      <c r="J18" s="43">
        <f t="shared" si="17"/>
        <v>0</v>
      </c>
      <c r="K18" s="43">
        <f t="shared" si="17"/>
        <v>0</v>
      </c>
      <c r="L18" s="43">
        <f t="shared" si="17"/>
        <v>0</v>
      </c>
      <c r="M18" s="43">
        <f t="shared" si="17"/>
        <v>0</v>
      </c>
      <c r="N18" s="53"/>
      <c r="O18" s="53"/>
      <c r="P18" s="53"/>
      <c r="Q18" s="53"/>
    </row>
    <row r="19" spans="1:17" x14ac:dyDescent="0.35">
      <c r="A19" s="43"/>
      <c r="B19" s="43" t="s">
        <v>13</v>
      </c>
      <c r="C19" s="43" t="s">
        <v>131</v>
      </c>
      <c r="D19" s="43">
        <f t="shared" si="17"/>
        <v>1</v>
      </c>
      <c r="E19" s="43">
        <f t="shared" si="17"/>
        <v>5</v>
      </c>
      <c r="F19" s="43">
        <f t="shared" si="17"/>
        <v>5</v>
      </c>
      <c r="G19" s="43">
        <f t="shared" si="17"/>
        <v>1</v>
      </c>
      <c r="H19" s="43">
        <f t="shared" si="17"/>
        <v>0</v>
      </c>
      <c r="I19" s="43">
        <f t="shared" si="17"/>
        <v>6</v>
      </c>
      <c r="J19" s="43">
        <f t="shared" si="17"/>
        <v>0</v>
      </c>
      <c r="K19" s="43">
        <f t="shared" si="17"/>
        <v>0</v>
      </c>
      <c r="L19" s="43">
        <f t="shared" si="17"/>
        <v>0</v>
      </c>
      <c r="M19" s="43">
        <f t="shared" si="17"/>
        <v>0</v>
      </c>
      <c r="N19" s="53"/>
      <c r="O19" s="53"/>
      <c r="P19" s="53"/>
      <c r="Q19" s="53"/>
    </row>
    <row r="20" spans="1:17" x14ac:dyDescent="0.35">
      <c r="A20" s="46" t="s">
        <v>7</v>
      </c>
      <c r="B20" s="46" t="s">
        <v>11</v>
      </c>
      <c r="C20" s="46" t="s">
        <v>131</v>
      </c>
      <c r="D20" s="46">
        <f t="shared" si="17"/>
        <v>1</v>
      </c>
      <c r="E20" s="46">
        <f t="shared" si="17"/>
        <v>5</v>
      </c>
      <c r="F20" s="46">
        <f t="shared" si="17"/>
        <v>6</v>
      </c>
      <c r="G20" s="46">
        <f t="shared" si="17"/>
        <v>0</v>
      </c>
      <c r="H20" s="46">
        <f t="shared" si="17"/>
        <v>0</v>
      </c>
      <c r="I20" s="46">
        <f t="shared" si="17"/>
        <v>0</v>
      </c>
      <c r="J20" s="46">
        <f t="shared" si="17"/>
        <v>6</v>
      </c>
      <c r="K20" s="46">
        <f t="shared" si="17"/>
        <v>0</v>
      </c>
      <c r="L20" s="46">
        <f t="shared" si="17"/>
        <v>0</v>
      </c>
      <c r="M20" s="46">
        <f t="shared" si="17"/>
        <v>0</v>
      </c>
      <c r="N20" s="53"/>
      <c r="O20" s="53"/>
      <c r="P20" s="53"/>
      <c r="Q20" s="53"/>
    </row>
    <row r="21" spans="1:17" x14ac:dyDescent="0.35">
      <c r="A21" s="47">
        <f>(D41+E41+D42+E42+D43+E43+D44+E44)/N54</f>
        <v>0.18840579710144928</v>
      </c>
      <c r="B21" s="46" t="s">
        <v>72</v>
      </c>
      <c r="C21" s="46" t="s">
        <v>131</v>
      </c>
      <c r="D21" s="46">
        <f t="shared" si="17"/>
        <v>0</v>
      </c>
      <c r="E21" s="46">
        <f t="shared" si="17"/>
        <v>0</v>
      </c>
      <c r="F21" s="46">
        <f t="shared" si="17"/>
        <v>0</v>
      </c>
      <c r="G21" s="46">
        <f t="shared" si="17"/>
        <v>0</v>
      </c>
      <c r="H21" s="46">
        <f t="shared" si="17"/>
        <v>0</v>
      </c>
      <c r="I21" s="46">
        <f t="shared" si="17"/>
        <v>0</v>
      </c>
      <c r="J21" s="46">
        <f t="shared" si="17"/>
        <v>0</v>
      </c>
      <c r="K21" s="46">
        <f t="shared" si="17"/>
        <v>0</v>
      </c>
      <c r="L21" s="46">
        <f t="shared" si="17"/>
        <v>0</v>
      </c>
      <c r="M21" s="46">
        <f t="shared" si="17"/>
        <v>0</v>
      </c>
      <c r="N21" s="53"/>
      <c r="O21" s="53"/>
      <c r="P21" s="53"/>
      <c r="Q21" s="53"/>
    </row>
    <row r="22" spans="1:17" x14ac:dyDescent="0.35">
      <c r="A22" s="46"/>
      <c r="B22" s="46" t="s">
        <v>18</v>
      </c>
      <c r="C22" s="46" t="s">
        <v>131</v>
      </c>
      <c r="D22" s="46">
        <f t="shared" si="17"/>
        <v>0</v>
      </c>
      <c r="E22" s="46">
        <f t="shared" si="17"/>
        <v>1</v>
      </c>
      <c r="F22" s="46">
        <f t="shared" si="17"/>
        <v>1</v>
      </c>
      <c r="G22" s="46">
        <f t="shared" si="17"/>
        <v>0</v>
      </c>
      <c r="H22" s="46">
        <f t="shared" si="17"/>
        <v>0</v>
      </c>
      <c r="I22" s="46">
        <f t="shared" si="17"/>
        <v>1</v>
      </c>
      <c r="J22" s="46">
        <f t="shared" si="17"/>
        <v>0</v>
      </c>
      <c r="K22" s="46">
        <f t="shared" si="17"/>
        <v>0</v>
      </c>
      <c r="L22" s="46">
        <f t="shared" si="17"/>
        <v>0</v>
      </c>
      <c r="M22" s="46">
        <f t="shared" si="17"/>
        <v>0</v>
      </c>
      <c r="N22" s="53"/>
      <c r="O22" s="53"/>
      <c r="P22" s="53"/>
      <c r="Q22" s="53"/>
    </row>
    <row r="23" spans="1:17" x14ac:dyDescent="0.35">
      <c r="A23" s="46"/>
      <c r="B23" s="46" t="s">
        <v>13</v>
      </c>
      <c r="C23" s="46" t="s">
        <v>131</v>
      </c>
      <c r="D23" s="46">
        <f t="shared" si="17"/>
        <v>5</v>
      </c>
      <c r="E23" s="46">
        <f t="shared" si="17"/>
        <v>14</v>
      </c>
      <c r="F23" s="46">
        <f t="shared" si="17"/>
        <v>18</v>
      </c>
      <c r="G23" s="46">
        <f t="shared" si="17"/>
        <v>1</v>
      </c>
      <c r="H23" s="46">
        <f t="shared" si="17"/>
        <v>0</v>
      </c>
      <c r="I23" s="46">
        <f t="shared" si="17"/>
        <v>18</v>
      </c>
      <c r="J23" s="46">
        <f t="shared" si="17"/>
        <v>1</v>
      </c>
      <c r="K23" s="46">
        <f t="shared" si="17"/>
        <v>0</v>
      </c>
      <c r="L23" s="46">
        <f t="shared" si="17"/>
        <v>0</v>
      </c>
      <c r="M23" s="46">
        <f t="shared" si="17"/>
        <v>0</v>
      </c>
      <c r="N23" s="53"/>
      <c r="O23" s="53"/>
      <c r="P23" s="53"/>
      <c r="Q23" s="53"/>
    </row>
    <row r="24" spans="1:17" x14ac:dyDescent="0.35">
      <c r="A24" s="36" t="s">
        <v>8</v>
      </c>
      <c r="B24" s="36" t="s">
        <v>11</v>
      </c>
      <c r="C24" s="36" t="s">
        <v>131</v>
      </c>
      <c r="D24" s="36">
        <f t="shared" si="17"/>
        <v>1</v>
      </c>
      <c r="E24" s="36">
        <f t="shared" si="17"/>
        <v>3</v>
      </c>
      <c r="F24" s="36">
        <f t="shared" si="17"/>
        <v>4</v>
      </c>
      <c r="G24" s="36">
        <f t="shared" si="17"/>
        <v>0</v>
      </c>
      <c r="H24" s="36">
        <f t="shared" si="17"/>
        <v>0</v>
      </c>
      <c r="I24" s="36">
        <f t="shared" si="17"/>
        <v>0</v>
      </c>
      <c r="J24" s="36">
        <f t="shared" si="17"/>
        <v>4</v>
      </c>
      <c r="K24" s="36">
        <f t="shared" si="17"/>
        <v>0</v>
      </c>
      <c r="L24" s="36">
        <f t="shared" si="17"/>
        <v>0</v>
      </c>
      <c r="M24" s="36">
        <f t="shared" si="17"/>
        <v>0</v>
      </c>
      <c r="N24" s="53"/>
      <c r="O24" s="53"/>
      <c r="P24" s="53"/>
      <c r="Q24" s="53"/>
    </row>
    <row r="25" spans="1:17" x14ac:dyDescent="0.35">
      <c r="A25" s="37">
        <f>(D45+E45+D46+E46+D47+E47+D48+E48+D49+E49)/$N$54</f>
        <v>0.56521739130434778</v>
      </c>
      <c r="B25" s="36" t="s">
        <v>72</v>
      </c>
      <c r="C25" s="36" t="s">
        <v>131</v>
      </c>
      <c r="D25" s="36">
        <f t="shared" si="17"/>
        <v>0</v>
      </c>
      <c r="E25" s="36">
        <f t="shared" si="17"/>
        <v>0</v>
      </c>
      <c r="F25" s="36">
        <f t="shared" si="17"/>
        <v>0</v>
      </c>
      <c r="G25" s="36">
        <f t="shared" si="17"/>
        <v>0</v>
      </c>
      <c r="H25" s="36">
        <f t="shared" si="17"/>
        <v>0</v>
      </c>
      <c r="I25" s="36">
        <f t="shared" si="17"/>
        <v>0</v>
      </c>
      <c r="J25" s="36">
        <f t="shared" si="17"/>
        <v>0</v>
      </c>
      <c r="K25" s="36">
        <f t="shared" si="17"/>
        <v>0</v>
      </c>
      <c r="L25" s="36">
        <f t="shared" si="17"/>
        <v>0</v>
      </c>
      <c r="M25" s="36">
        <f t="shared" si="17"/>
        <v>0</v>
      </c>
      <c r="N25" s="53"/>
      <c r="O25" s="53"/>
      <c r="P25" s="53"/>
      <c r="Q25" s="53"/>
    </row>
    <row r="26" spans="1:17" x14ac:dyDescent="0.35">
      <c r="A26" s="36"/>
      <c r="B26" s="36" t="s">
        <v>18</v>
      </c>
      <c r="C26" s="36" t="s">
        <v>131</v>
      </c>
      <c r="D26" s="36">
        <f t="shared" si="17"/>
        <v>21</v>
      </c>
      <c r="E26" s="36">
        <f t="shared" si="17"/>
        <v>7</v>
      </c>
      <c r="F26" s="36">
        <f t="shared" si="17"/>
        <v>28</v>
      </c>
      <c r="G26" s="36">
        <f t="shared" si="17"/>
        <v>0</v>
      </c>
      <c r="H26" s="36">
        <f t="shared" si="17"/>
        <v>0</v>
      </c>
      <c r="I26" s="36">
        <f t="shared" si="17"/>
        <v>28</v>
      </c>
      <c r="J26" s="36">
        <f t="shared" si="17"/>
        <v>0</v>
      </c>
      <c r="K26" s="36">
        <f t="shared" si="17"/>
        <v>0</v>
      </c>
      <c r="L26" s="36">
        <f t="shared" si="17"/>
        <v>0</v>
      </c>
      <c r="M26" s="36">
        <f t="shared" si="17"/>
        <v>0</v>
      </c>
      <c r="N26" s="53"/>
      <c r="O26" s="53"/>
      <c r="P26" s="53"/>
      <c r="Q26" s="53"/>
    </row>
    <row r="27" spans="1:17" x14ac:dyDescent="0.35">
      <c r="A27" s="36"/>
      <c r="B27" s="36" t="s">
        <v>13</v>
      </c>
      <c r="C27" s="36" t="s">
        <v>131</v>
      </c>
      <c r="D27" s="36">
        <f t="shared" si="17"/>
        <v>23</v>
      </c>
      <c r="E27" s="36">
        <f t="shared" si="17"/>
        <v>22</v>
      </c>
      <c r="F27" s="36">
        <f t="shared" si="17"/>
        <v>42</v>
      </c>
      <c r="G27" s="36">
        <f t="shared" si="17"/>
        <v>3</v>
      </c>
      <c r="H27" s="36">
        <f t="shared" si="17"/>
        <v>0</v>
      </c>
      <c r="I27" s="36">
        <f t="shared" si="17"/>
        <v>36</v>
      </c>
      <c r="J27" s="36">
        <f t="shared" si="17"/>
        <v>9</v>
      </c>
      <c r="K27" s="36">
        <f t="shared" si="17"/>
        <v>2</v>
      </c>
      <c r="L27" s="36">
        <f t="shared" si="17"/>
        <v>0</v>
      </c>
      <c r="M27" s="36">
        <f t="shared" si="17"/>
        <v>0</v>
      </c>
      <c r="N27" s="53"/>
      <c r="O27" s="53"/>
      <c r="P27" s="53"/>
      <c r="Q27" s="53"/>
    </row>
    <row r="28" spans="1:17" x14ac:dyDescent="0.35">
      <c r="A28" s="36"/>
      <c r="B28" s="36" t="s">
        <v>74</v>
      </c>
      <c r="C28" s="36" t="s">
        <v>131</v>
      </c>
      <c r="D28" s="36">
        <f t="shared" si="17"/>
        <v>0</v>
      </c>
      <c r="E28" s="36">
        <f t="shared" si="17"/>
        <v>1</v>
      </c>
      <c r="F28" s="36">
        <f t="shared" si="17"/>
        <v>1</v>
      </c>
      <c r="G28" s="36">
        <f t="shared" si="17"/>
        <v>0</v>
      </c>
      <c r="H28" s="36">
        <f t="shared" si="17"/>
        <v>1</v>
      </c>
      <c r="I28" s="36">
        <f t="shared" si="17"/>
        <v>0</v>
      </c>
      <c r="J28" s="36">
        <f t="shared" si="17"/>
        <v>0</v>
      </c>
      <c r="K28" s="36">
        <f t="shared" si="17"/>
        <v>0</v>
      </c>
      <c r="L28" s="36">
        <f t="shared" si="17"/>
        <v>0</v>
      </c>
      <c r="M28" s="36">
        <f t="shared" si="17"/>
        <v>0</v>
      </c>
      <c r="N28" s="53"/>
      <c r="O28" s="53"/>
      <c r="P28" s="53"/>
      <c r="Q28" s="53"/>
    </row>
    <row r="29" spans="1:17" x14ac:dyDescent="0.35">
      <c r="A29" s="48" t="s">
        <v>9</v>
      </c>
      <c r="B29" s="48" t="s">
        <v>11</v>
      </c>
      <c r="C29" s="48" t="s">
        <v>131</v>
      </c>
      <c r="D29" s="48">
        <f t="shared" si="17"/>
        <v>0</v>
      </c>
      <c r="E29" s="48">
        <f t="shared" si="17"/>
        <v>0</v>
      </c>
      <c r="F29" s="48">
        <f t="shared" si="17"/>
        <v>0</v>
      </c>
      <c r="G29" s="48">
        <f t="shared" si="17"/>
        <v>0</v>
      </c>
      <c r="H29" s="48">
        <f t="shared" si="17"/>
        <v>0</v>
      </c>
      <c r="I29" s="48">
        <f t="shared" si="17"/>
        <v>0</v>
      </c>
      <c r="J29" s="48">
        <f t="shared" si="17"/>
        <v>0</v>
      </c>
      <c r="K29" s="48">
        <f t="shared" si="17"/>
        <v>0</v>
      </c>
      <c r="L29" s="48">
        <f t="shared" si="17"/>
        <v>0</v>
      </c>
      <c r="M29" s="48">
        <f t="shared" si="17"/>
        <v>0</v>
      </c>
      <c r="N29" s="53"/>
      <c r="O29" s="53"/>
      <c r="P29" s="53"/>
      <c r="Q29" s="53"/>
    </row>
    <row r="30" spans="1:17" x14ac:dyDescent="0.35">
      <c r="A30" s="49">
        <f>(D50+E50+D51+E51+D52+E52+D52+E52+D53+E53+D54+E54)/$N$54</f>
        <v>0.24637681159420291</v>
      </c>
      <c r="B30" s="48" t="s">
        <v>72</v>
      </c>
      <c r="C30" s="48" t="s">
        <v>131</v>
      </c>
      <c r="D30" s="48">
        <f t="shared" si="17"/>
        <v>0</v>
      </c>
      <c r="E30" s="48">
        <f t="shared" si="17"/>
        <v>0</v>
      </c>
      <c r="F30" s="48">
        <f t="shared" si="17"/>
        <v>0</v>
      </c>
      <c r="G30" s="48">
        <f t="shared" si="17"/>
        <v>0</v>
      </c>
      <c r="H30" s="48">
        <f t="shared" si="17"/>
        <v>0</v>
      </c>
      <c r="I30" s="48">
        <f t="shared" si="17"/>
        <v>0</v>
      </c>
      <c r="J30" s="48">
        <f t="shared" si="17"/>
        <v>0</v>
      </c>
      <c r="K30" s="48">
        <f t="shared" si="17"/>
        <v>0</v>
      </c>
      <c r="L30" s="48">
        <f t="shared" si="17"/>
        <v>0</v>
      </c>
      <c r="M30" s="48">
        <f t="shared" si="17"/>
        <v>0</v>
      </c>
      <c r="N30" s="53"/>
      <c r="O30" s="53"/>
      <c r="P30" s="53"/>
      <c r="Q30" s="53"/>
    </row>
    <row r="31" spans="1:17" x14ac:dyDescent="0.35">
      <c r="A31" s="48"/>
      <c r="B31" s="48" t="s">
        <v>18</v>
      </c>
      <c r="C31" s="48" t="s">
        <v>131</v>
      </c>
      <c r="D31" s="48">
        <f t="shared" si="17"/>
        <v>4</v>
      </c>
      <c r="E31" s="48">
        <f t="shared" si="17"/>
        <v>6</v>
      </c>
      <c r="F31" s="48">
        <f t="shared" si="17"/>
        <v>10</v>
      </c>
      <c r="G31" s="48">
        <f t="shared" si="17"/>
        <v>0</v>
      </c>
      <c r="H31" s="48">
        <f t="shared" si="17"/>
        <v>0</v>
      </c>
      <c r="I31" s="48">
        <f t="shared" si="17"/>
        <v>10</v>
      </c>
      <c r="J31" s="48">
        <f t="shared" si="17"/>
        <v>0</v>
      </c>
      <c r="K31" s="48">
        <f t="shared" si="17"/>
        <v>0</v>
      </c>
      <c r="L31" s="48">
        <f t="shared" si="17"/>
        <v>0</v>
      </c>
      <c r="M31" s="48">
        <f t="shared" si="17"/>
        <v>1</v>
      </c>
      <c r="N31" s="53"/>
      <c r="O31" s="53"/>
      <c r="P31" s="53"/>
      <c r="Q31" s="53"/>
    </row>
    <row r="32" spans="1:17" x14ac:dyDescent="0.35">
      <c r="A32" s="48"/>
      <c r="B32" s="48" t="s">
        <v>13</v>
      </c>
      <c r="C32" s="48" t="s">
        <v>131</v>
      </c>
      <c r="D32" s="48">
        <f t="shared" si="17"/>
        <v>3</v>
      </c>
      <c r="E32" s="48">
        <f t="shared" si="17"/>
        <v>10</v>
      </c>
      <c r="F32" s="48">
        <f t="shared" si="17"/>
        <v>13</v>
      </c>
      <c r="G32" s="48">
        <f t="shared" si="17"/>
        <v>0</v>
      </c>
      <c r="H32" s="48">
        <f t="shared" si="17"/>
        <v>0</v>
      </c>
      <c r="I32" s="48">
        <f t="shared" si="17"/>
        <v>13</v>
      </c>
      <c r="J32" s="48">
        <f t="shared" si="17"/>
        <v>0</v>
      </c>
      <c r="K32" s="48">
        <f t="shared" si="17"/>
        <v>0</v>
      </c>
      <c r="L32" s="48">
        <f t="shared" si="17"/>
        <v>0</v>
      </c>
      <c r="M32" s="48">
        <f t="shared" si="17"/>
        <v>0</v>
      </c>
      <c r="N32" s="53"/>
      <c r="O32" s="53"/>
      <c r="P32" s="53"/>
      <c r="Q32" s="53"/>
    </row>
    <row r="33" spans="1:27" ht="15" thickBot="1" x14ac:dyDescent="0.4">
      <c r="A33" s="48"/>
      <c r="B33" s="48" t="s">
        <v>74</v>
      </c>
      <c r="C33" s="48" t="s">
        <v>131</v>
      </c>
      <c r="D33" s="48">
        <f t="shared" ref="D33:M33" si="18">D54</f>
        <v>1</v>
      </c>
      <c r="E33" s="48">
        <f t="shared" si="18"/>
        <v>0</v>
      </c>
      <c r="F33" s="48">
        <f t="shared" si="18"/>
        <v>1</v>
      </c>
      <c r="G33" s="48">
        <f t="shared" si="18"/>
        <v>0</v>
      </c>
      <c r="H33" s="48">
        <f t="shared" si="18"/>
        <v>1</v>
      </c>
      <c r="I33" s="48">
        <f t="shared" si="18"/>
        <v>0</v>
      </c>
      <c r="J33" s="48">
        <f t="shared" si="18"/>
        <v>0</v>
      </c>
      <c r="K33" s="48">
        <f t="shared" si="18"/>
        <v>0</v>
      </c>
      <c r="L33" s="48">
        <f t="shared" si="18"/>
        <v>0</v>
      </c>
      <c r="M33" s="48">
        <f t="shared" si="18"/>
        <v>0</v>
      </c>
      <c r="N33" s="53"/>
      <c r="O33" s="53"/>
      <c r="P33" s="53"/>
      <c r="Q33" s="53"/>
    </row>
    <row r="34" spans="1:27" ht="15" thickBot="1" x14ac:dyDescent="0.4">
      <c r="S34" s="94" t="s">
        <v>121</v>
      </c>
      <c r="T34" s="95"/>
      <c r="U34" s="95"/>
      <c r="V34" s="95"/>
      <c r="W34" s="95"/>
      <c r="X34" s="95"/>
      <c r="Y34" s="95"/>
      <c r="Z34" s="95"/>
      <c r="AA34" s="96"/>
    </row>
    <row r="35" spans="1:27" ht="52" customHeight="1" x14ac:dyDescent="0.35">
      <c r="A35" s="58" t="s">
        <v>135</v>
      </c>
      <c r="B35" s="1"/>
      <c r="C35" s="1"/>
      <c r="D35" s="1" t="s">
        <v>3</v>
      </c>
      <c r="E35" s="1" t="s">
        <v>4</v>
      </c>
      <c r="F35" s="1" t="s">
        <v>10</v>
      </c>
      <c r="G35" s="1" t="s">
        <v>17</v>
      </c>
      <c r="H35" s="1" t="s">
        <v>19</v>
      </c>
      <c r="I35" s="1" t="s">
        <v>20</v>
      </c>
      <c r="J35" s="1" t="s">
        <v>21</v>
      </c>
      <c r="K35" s="1" t="s">
        <v>22</v>
      </c>
      <c r="L35" s="1" t="s">
        <v>23</v>
      </c>
      <c r="M35" s="1" t="s">
        <v>24</v>
      </c>
      <c r="N35" s="1" t="s">
        <v>134</v>
      </c>
      <c r="O35" s="1"/>
      <c r="S35" s="22" t="s">
        <v>49</v>
      </c>
      <c r="T35" s="23" t="s">
        <v>51</v>
      </c>
      <c r="U35" s="23" t="s">
        <v>52</v>
      </c>
      <c r="V35" s="23" t="s">
        <v>53</v>
      </c>
      <c r="W35" s="23" t="s">
        <v>54</v>
      </c>
      <c r="X35" s="23" t="s">
        <v>55</v>
      </c>
      <c r="Y35" s="23" t="s">
        <v>56</v>
      </c>
      <c r="Z35" s="23" t="s">
        <v>57</v>
      </c>
      <c r="AA35" s="24" t="s">
        <v>58</v>
      </c>
    </row>
    <row r="36" spans="1:27" x14ac:dyDescent="0.35">
      <c r="A36" s="1" t="s">
        <v>5</v>
      </c>
      <c r="B36" s="1"/>
      <c r="C36" s="9">
        <f>(D78+E78+D99+D120+E120+D141+E141+D162+E162+D183+E183+D204+E204)</f>
        <v>3</v>
      </c>
      <c r="D36" s="9"/>
      <c r="E36" s="1"/>
      <c r="F36" s="1"/>
      <c r="G36" s="1"/>
      <c r="H36" s="1"/>
      <c r="I36" s="1"/>
      <c r="J36" s="1"/>
      <c r="K36" s="1"/>
      <c r="L36" s="1"/>
      <c r="M36" s="1"/>
      <c r="N36" s="1">
        <f>(N57+N78+N99+N120+N141+N162+N183+N204)</f>
        <v>67</v>
      </c>
      <c r="O36" s="1" t="s">
        <v>43</v>
      </c>
      <c r="R36" s="17"/>
      <c r="S36" s="61" t="s">
        <v>95</v>
      </c>
      <c r="T36" s="1" t="s">
        <v>59</v>
      </c>
      <c r="U36" s="1" t="s">
        <v>59</v>
      </c>
      <c r="V36" s="1" t="s">
        <v>59</v>
      </c>
      <c r="W36" s="1" t="s">
        <v>95</v>
      </c>
      <c r="X36" s="1" t="s">
        <v>59</v>
      </c>
      <c r="Y36" s="1" t="s">
        <v>95</v>
      </c>
      <c r="Z36" s="1" t="s">
        <v>59</v>
      </c>
      <c r="AA36" s="26" t="s">
        <v>61</v>
      </c>
    </row>
    <row r="37" spans="1:27" x14ac:dyDescent="0.35">
      <c r="A37" s="1" t="s">
        <v>6</v>
      </c>
      <c r="B37" s="1" t="s">
        <v>11</v>
      </c>
      <c r="C37" s="1"/>
      <c r="D37" s="1">
        <f>(D58+D79+D100+D121+D142+D163+D184+D205)</f>
        <v>0</v>
      </c>
      <c r="E37" s="1">
        <f t="shared" ref="E37:M37" si="19">(E58+E79+E100+E121+E142+E163+E184+E205)</f>
        <v>0</v>
      </c>
      <c r="F37" s="1">
        <f t="shared" si="19"/>
        <v>0</v>
      </c>
      <c r="G37" s="1">
        <f t="shared" si="19"/>
        <v>0</v>
      </c>
      <c r="H37" s="1">
        <f t="shared" si="19"/>
        <v>0</v>
      </c>
      <c r="I37" s="1">
        <f t="shared" si="19"/>
        <v>0</v>
      </c>
      <c r="J37" s="1">
        <f t="shared" si="19"/>
        <v>0</v>
      </c>
      <c r="K37" s="1">
        <f t="shared" si="19"/>
        <v>0</v>
      </c>
      <c r="L37" s="1">
        <f t="shared" si="19"/>
        <v>0</v>
      </c>
      <c r="M37" s="1">
        <f t="shared" si="19"/>
        <v>0</v>
      </c>
      <c r="N37" s="1">
        <f>MIN(N58,N79,N100,N121,N142,N163,N184,N205)</f>
        <v>2</v>
      </c>
      <c r="O37" s="1" t="s">
        <v>44</v>
      </c>
      <c r="R37" s="17"/>
      <c r="S37" s="61" t="s">
        <v>95</v>
      </c>
      <c r="T37" s="1" t="s">
        <v>59</v>
      </c>
      <c r="U37" s="1" t="s">
        <v>59</v>
      </c>
      <c r="V37" s="1" t="s">
        <v>59</v>
      </c>
      <c r="W37" s="1" t="s">
        <v>95</v>
      </c>
      <c r="X37" s="1" t="s">
        <v>59</v>
      </c>
      <c r="Y37" s="1" t="s">
        <v>95</v>
      </c>
      <c r="Z37" s="1" t="s">
        <v>59</v>
      </c>
      <c r="AA37" s="26" t="s">
        <v>61</v>
      </c>
    </row>
    <row r="38" spans="1:27" x14ac:dyDescent="0.35">
      <c r="A38" s="1"/>
      <c r="B38" s="1" t="s">
        <v>72</v>
      </c>
      <c r="C38" s="1"/>
      <c r="D38" s="1">
        <f t="shared" ref="D38:M53" si="20">(D59+D80+D101+D122+D143+D164+D185+D206)</f>
        <v>0</v>
      </c>
      <c r="E38" s="1">
        <f t="shared" si="20"/>
        <v>0</v>
      </c>
      <c r="F38" s="1">
        <f t="shared" si="20"/>
        <v>0</v>
      </c>
      <c r="G38" s="1">
        <f t="shared" si="20"/>
        <v>0</v>
      </c>
      <c r="H38" s="1">
        <f t="shared" si="20"/>
        <v>0</v>
      </c>
      <c r="I38" s="1">
        <f t="shared" si="20"/>
        <v>0</v>
      </c>
      <c r="J38" s="1">
        <f t="shared" si="20"/>
        <v>0</v>
      </c>
      <c r="K38" s="1">
        <f t="shared" si="20"/>
        <v>0</v>
      </c>
      <c r="L38" s="1">
        <f t="shared" si="20"/>
        <v>0</v>
      </c>
      <c r="M38" s="1">
        <f t="shared" si="20"/>
        <v>0</v>
      </c>
      <c r="N38" s="1">
        <f>MAX(N59,N80,N101,N122,N143,N164,N185,N206)</f>
        <v>7</v>
      </c>
      <c r="O38" s="1" t="s">
        <v>45</v>
      </c>
      <c r="R38" s="17"/>
      <c r="S38" s="61" t="s">
        <v>95</v>
      </c>
      <c r="T38" s="1" t="s">
        <v>59</v>
      </c>
      <c r="U38" s="1" t="s">
        <v>59</v>
      </c>
      <c r="V38" s="1" t="s">
        <v>59</v>
      </c>
      <c r="W38" s="1" t="s">
        <v>95</v>
      </c>
      <c r="X38" s="1" t="s">
        <v>59</v>
      </c>
      <c r="Y38" s="1" t="s">
        <v>95</v>
      </c>
      <c r="Z38" s="1" t="s">
        <v>59</v>
      </c>
      <c r="AA38" s="26" t="s">
        <v>61</v>
      </c>
    </row>
    <row r="39" spans="1:27" x14ac:dyDescent="0.35">
      <c r="A39" s="1"/>
      <c r="B39" s="1" t="s">
        <v>18</v>
      </c>
      <c r="C39" s="1"/>
      <c r="D39" s="1">
        <f t="shared" si="20"/>
        <v>0</v>
      </c>
      <c r="E39" s="1">
        <f t="shared" si="20"/>
        <v>1</v>
      </c>
      <c r="F39" s="1">
        <f t="shared" si="20"/>
        <v>1</v>
      </c>
      <c r="G39" s="1">
        <f t="shared" si="20"/>
        <v>0</v>
      </c>
      <c r="H39" s="1">
        <f t="shared" si="20"/>
        <v>0</v>
      </c>
      <c r="I39" s="1">
        <f t="shared" si="20"/>
        <v>1</v>
      </c>
      <c r="J39" s="1">
        <f t="shared" si="20"/>
        <v>0</v>
      </c>
      <c r="K39" s="1">
        <f t="shared" si="20"/>
        <v>0</v>
      </c>
      <c r="L39" s="1">
        <f t="shared" si="20"/>
        <v>0</v>
      </c>
      <c r="M39" s="1">
        <f t="shared" si="20"/>
        <v>0</v>
      </c>
      <c r="N39" s="1">
        <f>AVERAGE(N60,N81,N102,N123,N144,N165,N186,N207)</f>
        <v>2.5499999999999998</v>
      </c>
      <c r="O39" s="1" t="s">
        <v>46</v>
      </c>
      <c r="R39" s="17"/>
      <c r="S39" s="61" t="s">
        <v>95</v>
      </c>
      <c r="T39" s="1" t="s">
        <v>59</v>
      </c>
      <c r="U39" s="1" t="s">
        <v>59</v>
      </c>
      <c r="V39" s="1" t="s">
        <v>59</v>
      </c>
      <c r="W39" s="1" t="s">
        <v>95</v>
      </c>
      <c r="X39" s="1" t="s">
        <v>59</v>
      </c>
      <c r="Y39" s="1" t="s">
        <v>95</v>
      </c>
      <c r="Z39" s="1" t="s">
        <v>59</v>
      </c>
      <c r="AA39" s="26" t="s">
        <v>61</v>
      </c>
    </row>
    <row r="40" spans="1:27" x14ac:dyDescent="0.35">
      <c r="A40" s="1"/>
      <c r="B40" s="1" t="s">
        <v>13</v>
      </c>
      <c r="C40" s="1"/>
      <c r="D40" s="1">
        <f t="shared" si="20"/>
        <v>1</v>
      </c>
      <c r="E40" s="1">
        <f t="shared" si="20"/>
        <v>5</v>
      </c>
      <c r="F40" s="1">
        <f t="shared" si="20"/>
        <v>5</v>
      </c>
      <c r="G40" s="1">
        <f t="shared" si="20"/>
        <v>1</v>
      </c>
      <c r="H40" s="1">
        <f t="shared" si="20"/>
        <v>0</v>
      </c>
      <c r="I40" s="1">
        <f t="shared" si="20"/>
        <v>6</v>
      </c>
      <c r="J40" s="1">
        <f t="shared" si="20"/>
        <v>0</v>
      </c>
      <c r="K40" s="1">
        <f t="shared" si="20"/>
        <v>0</v>
      </c>
      <c r="L40" s="1">
        <f t="shared" si="20"/>
        <v>0</v>
      </c>
      <c r="M40" s="1">
        <f t="shared" si="20"/>
        <v>0</v>
      </c>
      <c r="R40" s="17"/>
      <c r="S40" s="61" t="s">
        <v>95</v>
      </c>
      <c r="T40" s="1" t="s">
        <v>59</v>
      </c>
      <c r="U40" s="1" t="s">
        <v>59</v>
      </c>
      <c r="V40" s="1" t="s">
        <v>59</v>
      </c>
      <c r="W40" s="1" t="s">
        <v>95</v>
      </c>
      <c r="X40" s="1" t="s">
        <v>59</v>
      </c>
      <c r="Y40" s="1" t="s">
        <v>95</v>
      </c>
      <c r="Z40" s="1" t="s">
        <v>59</v>
      </c>
      <c r="AA40" s="26" t="s">
        <v>61</v>
      </c>
    </row>
    <row r="41" spans="1:27" ht="15" thickBot="1" x14ac:dyDescent="0.4">
      <c r="A41" s="1" t="s">
        <v>7</v>
      </c>
      <c r="B41" s="1" t="s">
        <v>11</v>
      </c>
      <c r="C41" s="1"/>
      <c r="D41" s="1">
        <f t="shared" si="20"/>
        <v>1</v>
      </c>
      <c r="E41" s="1">
        <f t="shared" si="20"/>
        <v>5</v>
      </c>
      <c r="F41" s="1">
        <f t="shared" si="20"/>
        <v>6</v>
      </c>
      <c r="G41" s="1">
        <f t="shared" si="20"/>
        <v>0</v>
      </c>
      <c r="H41" s="1">
        <f t="shared" si="20"/>
        <v>0</v>
      </c>
      <c r="I41" s="1">
        <f t="shared" si="20"/>
        <v>0</v>
      </c>
      <c r="J41" s="1">
        <f t="shared" si="20"/>
        <v>6</v>
      </c>
      <c r="K41" s="1">
        <f t="shared" si="20"/>
        <v>0</v>
      </c>
      <c r="L41" s="1">
        <f t="shared" si="20"/>
        <v>0</v>
      </c>
      <c r="M41" s="1">
        <f t="shared" si="20"/>
        <v>0</v>
      </c>
      <c r="R41" s="17"/>
      <c r="S41" s="62" t="s">
        <v>95</v>
      </c>
      <c r="T41" s="28" t="s">
        <v>59</v>
      </c>
      <c r="U41" s="28" t="s">
        <v>59</v>
      </c>
      <c r="V41" s="28" t="s">
        <v>59</v>
      </c>
      <c r="W41" s="28" t="s">
        <v>95</v>
      </c>
      <c r="X41" s="28" t="s">
        <v>59</v>
      </c>
      <c r="Y41" s="28" t="s">
        <v>95</v>
      </c>
      <c r="Z41" s="28" t="s">
        <v>59</v>
      </c>
      <c r="AA41" s="29" t="s">
        <v>61</v>
      </c>
    </row>
    <row r="42" spans="1:27" x14ac:dyDescent="0.35">
      <c r="A42" s="1"/>
      <c r="B42" s="1" t="s">
        <v>72</v>
      </c>
      <c r="C42" s="1"/>
      <c r="D42" s="1">
        <f t="shared" si="20"/>
        <v>0</v>
      </c>
      <c r="E42" s="1">
        <f t="shared" si="20"/>
        <v>0</v>
      </c>
      <c r="F42" s="1">
        <f t="shared" si="20"/>
        <v>0</v>
      </c>
      <c r="G42" s="1">
        <f t="shared" si="20"/>
        <v>0</v>
      </c>
      <c r="H42" s="1">
        <f t="shared" si="20"/>
        <v>0</v>
      </c>
      <c r="I42" s="1">
        <f t="shared" si="20"/>
        <v>0</v>
      </c>
      <c r="J42" s="1">
        <f t="shared" si="20"/>
        <v>0</v>
      </c>
      <c r="K42" s="1">
        <f t="shared" si="20"/>
        <v>0</v>
      </c>
      <c r="L42" s="1">
        <f t="shared" si="20"/>
        <v>0</v>
      </c>
      <c r="M42" s="1">
        <f t="shared" si="20"/>
        <v>0</v>
      </c>
      <c r="R42" s="17"/>
    </row>
    <row r="43" spans="1:27" x14ac:dyDescent="0.35">
      <c r="A43" s="1"/>
      <c r="B43" s="1" t="s">
        <v>18</v>
      </c>
      <c r="C43" s="1"/>
      <c r="D43" s="1">
        <f t="shared" si="20"/>
        <v>0</v>
      </c>
      <c r="E43" s="1">
        <f t="shared" si="20"/>
        <v>1</v>
      </c>
      <c r="F43" s="1">
        <f t="shared" si="20"/>
        <v>1</v>
      </c>
      <c r="G43" s="1">
        <f t="shared" si="20"/>
        <v>0</v>
      </c>
      <c r="H43" s="1">
        <f t="shared" si="20"/>
        <v>0</v>
      </c>
      <c r="I43" s="1">
        <f t="shared" si="20"/>
        <v>1</v>
      </c>
      <c r="J43" s="1">
        <f t="shared" si="20"/>
        <v>0</v>
      </c>
      <c r="K43" s="1">
        <f t="shared" si="20"/>
        <v>0</v>
      </c>
      <c r="L43" s="1">
        <f t="shared" si="20"/>
        <v>0</v>
      </c>
      <c r="M43" s="1">
        <f t="shared" si="20"/>
        <v>0</v>
      </c>
    </row>
    <row r="44" spans="1:27" x14ac:dyDescent="0.35">
      <c r="A44" s="1"/>
      <c r="B44" s="1" t="s">
        <v>13</v>
      </c>
      <c r="C44" s="1"/>
      <c r="D44" s="1">
        <f t="shared" si="20"/>
        <v>5</v>
      </c>
      <c r="E44" s="1">
        <f t="shared" si="20"/>
        <v>14</v>
      </c>
      <c r="F44" s="1">
        <f t="shared" si="20"/>
        <v>18</v>
      </c>
      <c r="G44" s="1">
        <f t="shared" si="20"/>
        <v>1</v>
      </c>
      <c r="H44" s="1">
        <f t="shared" si="20"/>
        <v>0</v>
      </c>
      <c r="I44" s="1">
        <f t="shared" si="20"/>
        <v>18</v>
      </c>
      <c r="J44" s="1">
        <f t="shared" si="20"/>
        <v>1</v>
      </c>
      <c r="K44" s="1">
        <f t="shared" si="20"/>
        <v>0</v>
      </c>
      <c r="L44" s="1">
        <f t="shared" si="20"/>
        <v>0</v>
      </c>
      <c r="M44" s="1">
        <f t="shared" si="20"/>
        <v>0</v>
      </c>
    </row>
    <row r="45" spans="1:27" x14ac:dyDescent="0.35">
      <c r="A45" s="1" t="s">
        <v>8</v>
      </c>
      <c r="B45" s="1" t="s">
        <v>11</v>
      </c>
      <c r="C45" s="1"/>
      <c r="D45" s="1">
        <f t="shared" si="20"/>
        <v>1</v>
      </c>
      <c r="E45" s="1">
        <f t="shared" si="20"/>
        <v>3</v>
      </c>
      <c r="F45" s="1">
        <f t="shared" si="20"/>
        <v>4</v>
      </c>
      <c r="G45" s="1">
        <f t="shared" si="20"/>
        <v>0</v>
      </c>
      <c r="H45" s="1">
        <f t="shared" si="20"/>
        <v>0</v>
      </c>
      <c r="I45" s="1">
        <f t="shared" si="20"/>
        <v>0</v>
      </c>
      <c r="J45" s="1">
        <f t="shared" si="20"/>
        <v>4</v>
      </c>
      <c r="K45" s="1">
        <f t="shared" si="20"/>
        <v>0</v>
      </c>
      <c r="L45" s="1">
        <f t="shared" si="20"/>
        <v>0</v>
      </c>
      <c r="M45" s="1">
        <f t="shared" si="20"/>
        <v>0</v>
      </c>
    </row>
    <row r="46" spans="1:27" x14ac:dyDescent="0.35">
      <c r="A46" s="1"/>
      <c r="B46" s="1" t="s">
        <v>72</v>
      </c>
      <c r="C46" s="1"/>
      <c r="D46" s="1">
        <f t="shared" si="20"/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</row>
    <row r="47" spans="1:27" x14ac:dyDescent="0.35">
      <c r="A47" s="1"/>
      <c r="B47" s="1" t="s">
        <v>18</v>
      </c>
      <c r="C47" s="1"/>
      <c r="D47" s="1">
        <f t="shared" si="20"/>
        <v>21</v>
      </c>
      <c r="E47" s="1">
        <f t="shared" si="20"/>
        <v>7</v>
      </c>
      <c r="F47" s="1">
        <f t="shared" si="20"/>
        <v>28</v>
      </c>
      <c r="G47" s="1">
        <f t="shared" si="20"/>
        <v>0</v>
      </c>
      <c r="H47" s="1">
        <f t="shared" si="20"/>
        <v>0</v>
      </c>
      <c r="I47" s="1">
        <f t="shared" si="20"/>
        <v>28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</row>
    <row r="48" spans="1:27" x14ac:dyDescent="0.35">
      <c r="A48" s="1"/>
      <c r="B48" s="1" t="s">
        <v>13</v>
      </c>
      <c r="C48" s="1"/>
      <c r="D48" s="1">
        <f t="shared" si="20"/>
        <v>23</v>
      </c>
      <c r="E48" s="1">
        <f t="shared" si="20"/>
        <v>22</v>
      </c>
      <c r="F48" s="1">
        <f t="shared" si="20"/>
        <v>42</v>
      </c>
      <c r="G48" s="1">
        <f t="shared" si="20"/>
        <v>3</v>
      </c>
      <c r="H48" s="1">
        <f t="shared" si="20"/>
        <v>0</v>
      </c>
      <c r="I48" s="1">
        <f t="shared" si="20"/>
        <v>36</v>
      </c>
      <c r="J48" s="1">
        <f t="shared" si="20"/>
        <v>9</v>
      </c>
      <c r="K48" s="1">
        <f t="shared" si="20"/>
        <v>2</v>
      </c>
      <c r="L48" s="1">
        <f t="shared" si="20"/>
        <v>0</v>
      </c>
      <c r="M48" s="1">
        <f t="shared" si="20"/>
        <v>0</v>
      </c>
    </row>
    <row r="49" spans="1:15" x14ac:dyDescent="0.35">
      <c r="A49" s="1"/>
      <c r="B49" s="1" t="s">
        <v>74</v>
      </c>
      <c r="C49" s="1"/>
      <c r="D49" s="1">
        <f t="shared" si="20"/>
        <v>0</v>
      </c>
      <c r="E49" s="1">
        <f t="shared" si="20"/>
        <v>1</v>
      </c>
      <c r="F49" s="1">
        <f t="shared" si="20"/>
        <v>1</v>
      </c>
      <c r="G49" s="1">
        <f t="shared" si="20"/>
        <v>0</v>
      </c>
      <c r="H49" s="1">
        <f t="shared" si="20"/>
        <v>1</v>
      </c>
      <c r="I49" s="1">
        <f t="shared" si="20"/>
        <v>0</v>
      </c>
      <c r="J49" s="1">
        <f t="shared" si="20"/>
        <v>0</v>
      </c>
      <c r="K49" s="1">
        <f t="shared" si="20"/>
        <v>0</v>
      </c>
      <c r="L49" s="1">
        <f t="shared" si="20"/>
        <v>0</v>
      </c>
      <c r="M49" s="1">
        <f t="shared" si="20"/>
        <v>0</v>
      </c>
    </row>
    <row r="50" spans="1:15" x14ac:dyDescent="0.35">
      <c r="A50" s="1" t="s">
        <v>9</v>
      </c>
      <c r="B50" s="1" t="s">
        <v>11</v>
      </c>
      <c r="C50" s="1"/>
      <c r="D50" s="1">
        <f t="shared" si="20"/>
        <v>0</v>
      </c>
      <c r="E50" s="1">
        <f t="shared" si="20"/>
        <v>0</v>
      </c>
      <c r="F50" s="1">
        <f t="shared" si="20"/>
        <v>0</v>
      </c>
      <c r="G50" s="1">
        <f t="shared" si="20"/>
        <v>0</v>
      </c>
      <c r="H50" s="1">
        <f t="shared" si="20"/>
        <v>0</v>
      </c>
      <c r="I50" s="1">
        <f t="shared" si="20"/>
        <v>0</v>
      </c>
      <c r="J50" s="1">
        <f t="shared" si="20"/>
        <v>0</v>
      </c>
      <c r="K50" s="1">
        <f t="shared" si="20"/>
        <v>0</v>
      </c>
      <c r="L50" s="1">
        <f t="shared" si="20"/>
        <v>0</v>
      </c>
      <c r="M50" s="1">
        <f t="shared" si="20"/>
        <v>0</v>
      </c>
    </row>
    <row r="51" spans="1:15" x14ac:dyDescent="0.35">
      <c r="A51" s="1"/>
      <c r="B51" s="1" t="s">
        <v>72</v>
      </c>
      <c r="C51" s="1"/>
      <c r="D51" s="1">
        <f t="shared" si="20"/>
        <v>0</v>
      </c>
      <c r="E51" s="1">
        <f t="shared" si="20"/>
        <v>0</v>
      </c>
      <c r="F51" s="1">
        <f t="shared" si="20"/>
        <v>0</v>
      </c>
      <c r="G51" s="1">
        <f t="shared" si="20"/>
        <v>0</v>
      </c>
      <c r="H51" s="1">
        <f t="shared" si="20"/>
        <v>0</v>
      </c>
      <c r="I51" s="1">
        <f t="shared" si="20"/>
        <v>0</v>
      </c>
      <c r="J51" s="1">
        <f t="shared" si="20"/>
        <v>0</v>
      </c>
      <c r="K51" s="1">
        <f t="shared" si="20"/>
        <v>0</v>
      </c>
      <c r="L51" s="1">
        <f t="shared" si="20"/>
        <v>0</v>
      </c>
      <c r="M51" s="1">
        <f t="shared" si="20"/>
        <v>0</v>
      </c>
    </row>
    <row r="52" spans="1:15" x14ac:dyDescent="0.35">
      <c r="A52" s="1"/>
      <c r="B52" s="1" t="s">
        <v>18</v>
      </c>
      <c r="C52" s="1"/>
      <c r="D52" s="1">
        <f t="shared" si="20"/>
        <v>4</v>
      </c>
      <c r="E52" s="1">
        <f t="shared" si="20"/>
        <v>6</v>
      </c>
      <c r="F52" s="1">
        <f t="shared" si="20"/>
        <v>10</v>
      </c>
      <c r="G52" s="1">
        <f t="shared" si="20"/>
        <v>0</v>
      </c>
      <c r="H52" s="1">
        <f t="shared" si="20"/>
        <v>0</v>
      </c>
      <c r="I52" s="1">
        <f t="shared" si="20"/>
        <v>10</v>
      </c>
      <c r="J52" s="1">
        <f t="shared" si="20"/>
        <v>0</v>
      </c>
      <c r="K52" s="1">
        <f t="shared" si="20"/>
        <v>0</v>
      </c>
      <c r="L52" s="1">
        <f t="shared" si="20"/>
        <v>0</v>
      </c>
      <c r="M52" s="1">
        <f t="shared" si="20"/>
        <v>1</v>
      </c>
    </row>
    <row r="53" spans="1:15" x14ac:dyDescent="0.35">
      <c r="A53" s="1"/>
      <c r="B53" s="1" t="s">
        <v>13</v>
      </c>
      <c r="C53" s="1"/>
      <c r="D53" s="1">
        <f t="shared" si="20"/>
        <v>3</v>
      </c>
      <c r="E53" s="1">
        <f t="shared" si="20"/>
        <v>10</v>
      </c>
      <c r="F53" s="1">
        <f t="shared" si="20"/>
        <v>13</v>
      </c>
      <c r="G53" s="1">
        <f t="shared" si="20"/>
        <v>0</v>
      </c>
      <c r="H53" s="1">
        <f t="shared" si="20"/>
        <v>0</v>
      </c>
      <c r="I53" s="1">
        <f t="shared" si="20"/>
        <v>13</v>
      </c>
      <c r="J53" s="1">
        <f t="shared" si="20"/>
        <v>0</v>
      </c>
      <c r="K53" s="1">
        <f t="shared" si="20"/>
        <v>0</v>
      </c>
      <c r="L53" s="1">
        <f t="shared" si="20"/>
        <v>0</v>
      </c>
      <c r="M53" s="1">
        <f t="shared" si="20"/>
        <v>0</v>
      </c>
      <c r="N53" s="12" t="s">
        <v>66</v>
      </c>
    </row>
    <row r="54" spans="1:15" x14ac:dyDescent="0.35">
      <c r="A54" s="1"/>
      <c r="B54" s="1" t="s">
        <v>74</v>
      </c>
      <c r="C54" s="1"/>
      <c r="D54" s="1">
        <f t="shared" ref="D54:M54" si="21">(D75+D96+D117+D138+D159+D180+D201+D222)</f>
        <v>1</v>
      </c>
      <c r="E54" s="1">
        <f t="shared" si="21"/>
        <v>0</v>
      </c>
      <c r="F54" s="1">
        <f t="shared" si="21"/>
        <v>1</v>
      </c>
      <c r="G54" s="1">
        <f t="shared" si="21"/>
        <v>0</v>
      </c>
      <c r="H54" s="1">
        <f t="shared" si="21"/>
        <v>1</v>
      </c>
      <c r="I54" s="1">
        <f t="shared" si="21"/>
        <v>0</v>
      </c>
      <c r="J54" s="1">
        <f t="shared" si="21"/>
        <v>0</v>
      </c>
      <c r="K54" s="1">
        <f t="shared" si="21"/>
        <v>0</v>
      </c>
      <c r="L54" s="1">
        <f t="shared" si="21"/>
        <v>0</v>
      </c>
      <c r="M54" s="1">
        <f t="shared" si="21"/>
        <v>0</v>
      </c>
      <c r="N54" s="12">
        <f>SUM(C36:E54)</f>
        <v>138</v>
      </c>
    </row>
    <row r="56" spans="1:15" x14ac:dyDescent="0.35">
      <c r="A56" s="18" t="s">
        <v>84</v>
      </c>
      <c r="B56" s="20">
        <v>44641</v>
      </c>
      <c r="C56" s="16" t="s">
        <v>42</v>
      </c>
      <c r="D56" s="16" t="s">
        <v>3</v>
      </c>
      <c r="E56" s="16" t="s">
        <v>4</v>
      </c>
      <c r="F56" s="16" t="s">
        <v>10</v>
      </c>
      <c r="G56" s="16" t="s">
        <v>17</v>
      </c>
      <c r="H56" s="16" t="s">
        <v>19</v>
      </c>
      <c r="I56" s="16" t="s">
        <v>20</v>
      </c>
      <c r="J56" s="16" t="s">
        <v>21</v>
      </c>
      <c r="K56" s="16" t="s">
        <v>22</v>
      </c>
      <c r="L56" s="16" t="s">
        <v>23</v>
      </c>
      <c r="M56" s="16" t="s">
        <v>24</v>
      </c>
      <c r="N56" s="16" t="s">
        <v>15</v>
      </c>
    </row>
    <row r="57" spans="1:15" x14ac:dyDescent="0.35">
      <c r="A57" s="16" t="s">
        <v>5</v>
      </c>
      <c r="D57" s="16">
        <v>0</v>
      </c>
      <c r="E57" s="16">
        <v>0</v>
      </c>
      <c r="N57" s="16">
        <v>3</v>
      </c>
      <c r="O57" s="16" t="s">
        <v>43</v>
      </c>
    </row>
    <row r="58" spans="1:15" x14ac:dyDescent="0.35">
      <c r="A58" s="16" t="s">
        <v>6</v>
      </c>
      <c r="B58" s="16" t="s">
        <v>11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3</v>
      </c>
      <c r="O58" s="16" t="s">
        <v>44</v>
      </c>
    </row>
    <row r="59" spans="1:15" x14ac:dyDescent="0.35">
      <c r="B59" s="16" t="s">
        <v>72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3</v>
      </c>
      <c r="O59" s="16" t="s">
        <v>45</v>
      </c>
    </row>
    <row r="60" spans="1:15" x14ac:dyDescent="0.35">
      <c r="B60" s="16" t="s">
        <v>18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3</v>
      </c>
      <c r="O60" s="16" t="s">
        <v>46</v>
      </c>
    </row>
    <row r="61" spans="1:15" x14ac:dyDescent="0.35">
      <c r="B61" s="16" t="s">
        <v>13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</row>
    <row r="62" spans="1:15" x14ac:dyDescent="0.35">
      <c r="A62" s="16" t="s">
        <v>7</v>
      </c>
      <c r="B62" s="16" t="s">
        <v>11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</row>
    <row r="63" spans="1:15" x14ac:dyDescent="0.35">
      <c r="B63" s="16" t="s">
        <v>72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</row>
    <row r="64" spans="1:15" x14ac:dyDescent="0.35">
      <c r="B64" s="16" t="s">
        <v>18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</row>
    <row r="65" spans="1:15" x14ac:dyDescent="0.35">
      <c r="B65" s="16" t="s">
        <v>13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</row>
    <row r="66" spans="1:15" x14ac:dyDescent="0.35">
      <c r="A66" s="16" t="s">
        <v>8</v>
      </c>
      <c r="B66" s="16" t="s">
        <v>11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</row>
    <row r="67" spans="1:15" x14ac:dyDescent="0.35">
      <c r="B67" s="16" t="s">
        <v>72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</row>
    <row r="68" spans="1:15" x14ac:dyDescent="0.35">
      <c r="B68" s="16" t="s">
        <v>18</v>
      </c>
      <c r="D68" s="16">
        <v>3</v>
      </c>
      <c r="E68" s="16">
        <v>1</v>
      </c>
      <c r="F68" s="16">
        <v>4</v>
      </c>
      <c r="G68" s="16">
        <v>0</v>
      </c>
      <c r="H68" s="16">
        <v>0</v>
      </c>
      <c r="I68" s="16">
        <v>4</v>
      </c>
      <c r="J68" s="16">
        <v>0</v>
      </c>
      <c r="K68" s="16">
        <v>0</v>
      </c>
      <c r="L68" s="16">
        <v>0</v>
      </c>
      <c r="M68" s="16">
        <v>0</v>
      </c>
    </row>
    <row r="69" spans="1:15" x14ac:dyDescent="0.35">
      <c r="B69" s="16" t="s">
        <v>13</v>
      </c>
      <c r="D69" s="16">
        <v>3</v>
      </c>
      <c r="E69" s="16">
        <v>1</v>
      </c>
      <c r="F69" s="16">
        <v>4</v>
      </c>
      <c r="G69" s="16">
        <v>0</v>
      </c>
      <c r="H69" s="16">
        <v>0</v>
      </c>
      <c r="I69" s="16">
        <v>3</v>
      </c>
      <c r="J69" s="16">
        <v>1</v>
      </c>
      <c r="K69" s="16">
        <v>0</v>
      </c>
      <c r="L69" s="16">
        <v>0</v>
      </c>
      <c r="M69" s="16">
        <v>0</v>
      </c>
    </row>
    <row r="70" spans="1:15" x14ac:dyDescent="0.35">
      <c r="B70" s="16" t="s">
        <v>74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</row>
    <row r="71" spans="1:15" x14ac:dyDescent="0.35">
      <c r="A71" s="16" t="s">
        <v>9</v>
      </c>
      <c r="B71" s="16" t="s">
        <v>11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</row>
    <row r="72" spans="1:15" x14ac:dyDescent="0.35">
      <c r="B72" s="16" t="s">
        <v>72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</row>
    <row r="73" spans="1:15" x14ac:dyDescent="0.35">
      <c r="B73" s="16" t="s">
        <v>18</v>
      </c>
      <c r="D73" s="16">
        <v>1</v>
      </c>
      <c r="E73" s="16">
        <v>2</v>
      </c>
      <c r="F73" s="16">
        <v>3</v>
      </c>
      <c r="G73" s="16">
        <v>0</v>
      </c>
      <c r="H73" s="16">
        <v>0</v>
      </c>
      <c r="I73" s="16">
        <v>3</v>
      </c>
      <c r="J73" s="16">
        <v>0</v>
      </c>
      <c r="K73" s="16">
        <v>0</v>
      </c>
      <c r="L73" s="16">
        <v>0</v>
      </c>
      <c r="M73" s="16">
        <v>0</v>
      </c>
    </row>
    <row r="74" spans="1:15" x14ac:dyDescent="0.35">
      <c r="B74" s="16" t="s">
        <v>13</v>
      </c>
      <c r="D74" s="16">
        <v>0</v>
      </c>
      <c r="E74" s="16">
        <v>1</v>
      </c>
      <c r="F74" s="16">
        <v>1</v>
      </c>
      <c r="G74" s="16">
        <v>0</v>
      </c>
      <c r="H74" s="16">
        <v>0</v>
      </c>
      <c r="I74" s="16">
        <v>1</v>
      </c>
      <c r="J74" s="16">
        <v>0</v>
      </c>
      <c r="K74" s="16">
        <v>0</v>
      </c>
      <c r="L74" s="16">
        <v>0</v>
      </c>
      <c r="M74" s="16">
        <v>0</v>
      </c>
    </row>
    <row r="75" spans="1:15" x14ac:dyDescent="0.35">
      <c r="B75" s="16" t="s">
        <v>74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</row>
    <row r="77" spans="1:15" x14ac:dyDescent="0.35">
      <c r="A77" s="18" t="s">
        <v>84</v>
      </c>
      <c r="B77" s="19">
        <v>44641</v>
      </c>
      <c r="C77" s="16" t="s">
        <v>81</v>
      </c>
      <c r="D77" s="16" t="s">
        <v>3</v>
      </c>
      <c r="E77" s="16" t="s">
        <v>4</v>
      </c>
      <c r="F77" s="16" t="s">
        <v>10</v>
      </c>
      <c r="G77" s="16" t="s">
        <v>17</v>
      </c>
      <c r="H77" s="16" t="s">
        <v>19</v>
      </c>
      <c r="I77" s="16" t="s">
        <v>20</v>
      </c>
      <c r="J77" s="16" t="s">
        <v>21</v>
      </c>
      <c r="K77" s="16" t="s">
        <v>22</v>
      </c>
      <c r="L77" s="16" t="s">
        <v>23</v>
      </c>
      <c r="M77" s="16" t="s">
        <v>24</v>
      </c>
      <c r="N77" s="16" t="s">
        <v>15</v>
      </c>
    </row>
    <row r="78" spans="1:15" x14ac:dyDescent="0.35">
      <c r="A78" s="16" t="s">
        <v>5</v>
      </c>
      <c r="D78" s="16">
        <v>0</v>
      </c>
      <c r="E78" s="16">
        <v>0</v>
      </c>
      <c r="N78" s="16">
        <v>8</v>
      </c>
      <c r="O78" s="16" t="s">
        <v>43</v>
      </c>
    </row>
    <row r="79" spans="1:15" x14ac:dyDescent="0.35">
      <c r="A79" s="16" t="s">
        <v>6</v>
      </c>
      <c r="B79" s="16" t="s">
        <v>11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2</v>
      </c>
      <c r="O79" s="16" t="s">
        <v>44</v>
      </c>
    </row>
    <row r="80" spans="1:15" x14ac:dyDescent="0.35">
      <c r="B80" s="16" t="s">
        <v>72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2</v>
      </c>
      <c r="O80" s="16" t="s">
        <v>45</v>
      </c>
    </row>
    <row r="81" spans="1:15" x14ac:dyDescent="0.35">
      <c r="B81" s="16" t="s">
        <v>18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2</v>
      </c>
      <c r="O81" s="16" t="s">
        <v>46</v>
      </c>
    </row>
    <row r="82" spans="1:15" x14ac:dyDescent="0.35">
      <c r="B82" s="16" t="s">
        <v>13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</row>
    <row r="83" spans="1:15" x14ac:dyDescent="0.35">
      <c r="A83" s="16" t="s">
        <v>7</v>
      </c>
      <c r="B83" s="16" t="s">
        <v>11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</row>
    <row r="84" spans="1:15" x14ac:dyDescent="0.35">
      <c r="B84" s="16" t="s">
        <v>72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</row>
    <row r="85" spans="1:15" x14ac:dyDescent="0.35">
      <c r="B85" s="16" t="s">
        <v>18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</row>
    <row r="86" spans="1:15" x14ac:dyDescent="0.35">
      <c r="B86" s="16" t="s">
        <v>13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</row>
    <row r="87" spans="1:15" x14ac:dyDescent="0.35">
      <c r="A87" s="16" t="s">
        <v>8</v>
      </c>
      <c r="B87" s="16" t="s">
        <v>11</v>
      </c>
      <c r="D87" s="16">
        <v>1</v>
      </c>
      <c r="E87" s="16">
        <v>0</v>
      </c>
      <c r="F87" s="16">
        <v>1</v>
      </c>
      <c r="G87" s="16">
        <v>0</v>
      </c>
      <c r="H87" s="16">
        <v>0</v>
      </c>
      <c r="I87" s="16">
        <v>0</v>
      </c>
      <c r="J87" s="16">
        <v>1</v>
      </c>
      <c r="K87" s="16">
        <v>0</v>
      </c>
      <c r="L87" s="16">
        <v>0</v>
      </c>
      <c r="M87" s="16">
        <v>0</v>
      </c>
    </row>
    <row r="88" spans="1:15" x14ac:dyDescent="0.35">
      <c r="B88" s="16" t="s">
        <v>72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</row>
    <row r="89" spans="1:15" x14ac:dyDescent="0.35">
      <c r="B89" s="16" t="s">
        <v>18</v>
      </c>
      <c r="D89" s="16">
        <v>4</v>
      </c>
      <c r="E89" s="16">
        <v>0</v>
      </c>
      <c r="F89" s="16">
        <v>4</v>
      </c>
      <c r="G89" s="16">
        <v>0</v>
      </c>
      <c r="H89" s="16">
        <v>0</v>
      </c>
      <c r="I89" s="16">
        <v>4</v>
      </c>
      <c r="J89" s="16">
        <v>0</v>
      </c>
      <c r="K89" s="16">
        <v>0</v>
      </c>
      <c r="L89" s="16">
        <v>0</v>
      </c>
      <c r="M89" s="16">
        <v>0</v>
      </c>
    </row>
    <row r="90" spans="1:15" x14ac:dyDescent="0.35">
      <c r="B90" s="16" t="s">
        <v>13</v>
      </c>
      <c r="D90" s="16">
        <v>2</v>
      </c>
      <c r="E90" s="16">
        <v>5</v>
      </c>
      <c r="F90" s="16">
        <v>7</v>
      </c>
      <c r="G90" s="16">
        <v>0</v>
      </c>
      <c r="H90" s="16">
        <v>0</v>
      </c>
      <c r="I90" s="16">
        <v>6</v>
      </c>
      <c r="J90" s="16">
        <v>1</v>
      </c>
      <c r="K90" s="16">
        <v>0</v>
      </c>
      <c r="L90" s="16">
        <v>0</v>
      </c>
      <c r="M90" s="16">
        <v>0</v>
      </c>
    </row>
    <row r="91" spans="1:15" x14ac:dyDescent="0.35">
      <c r="B91" s="16" t="s">
        <v>74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</row>
    <row r="92" spans="1:15" x14ac:dyDescent="0.35">
      <c r="A92" s="16" t="s">
        <v>9</v>
      </c>
      <c r="B92" s="16" t="s">
        <v>11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</row>
    <row r="93" spans="1:15" x14ac:dyDescent="0.35">
      <c r="B93" s="16" t="s">
        <v>72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</row>
    <row r="94" spans="1:15" x14ac:dyDescent="0.35">
      <c r="B94" s="16" t="s">
        <v>18</v>
      </c>
      <c r="D94" s="16">
        <v>1</v>
      </c>
      <c r="E94" s="16">
        <v>1</v>
      </c>
      <c r="F94" s="16">
        <v>2</v>
      </c>
      <c r="G94" s="16">
        <v>0</v>
      </c>
      <c r="H94" s="16">
        <v>0</v>
      </c>
      <c r="I94" s="16">
        <v>2</v>
      </c>
      <c r="J94" s="16">
        <v>0</v>
      </c>
      <c r="K94" s="16">
        <v>0</v>
      </c>
      <c r="L94" s="16">
        <v>0</v>
      </c>
      <c r="M94" s="16">
        <v>1</v>
      </c>
    </row>
    <row r="95" spans="1:15" x14ac:dyDescent="0.35">
      <c r="B95" s="16" t="s">
        <v>13</v>
      </c>
      <c r="D95" s="16">
        <v>1</v>
      </c>
      <c r="E95" s="16">
        <v>2</v>
      </c>
      <c r="F95" s="16">
        <v>3</v>
      </c>
      <c r="G95" s="16">
        <v>0</v>
      </c>
      <c r="H95" s="16">
        <v>0</v>
      </c>
      <c r="I95" s="16">
        <v>3</v>
      </c>
      <c r="J95" s="16">
        <v>0</v>
      </c>
      <c r="K95" s="16">
        <v>0</v>
      </c>
      <c r="L95" s="16">
        <v>0</v>
      </c>
      <c r="M95" s="16">
        <v>0</v>
      </c>
    </row>
    <row r="96" spans="1:15" x14ac:dyDescent="0.35">
      <c r="B96" s="16" t="s">
        <v>74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</row>
    <row r="98" spans="1:15" x14ac:dyDescent="0.35">
      <c r="A98" s="18" t="s">
        <v>84</v>
      </c>
      <c r="B98" s="20">
        <v>44641</v>
      </c>
      <c r="C98" s="16" t="s">
        <v>82</v>
      </c>
      <c r="D98" s="16" t="s">
        <v>3</v>
      </c>
      <c r="E98" s="16" t="s">
        <v>4</v>
      </c>
      <c r="F98" s="16" t="s">
        <v>10</v>
      </c>
      <c r="G98" s="16" t="s">
        <v>17</v>
      </c>
      <c r="H98" s="16" t="s">
        <v>19</v>
      </c>
      <c r="I98" s="16" t="s">
        <v>20</v>
      </c>
      <c r="J98" s="16" t="s">
        <v>21</v>
      </c>
      <c r="K98" s="16" t="s">
        <v>22</v>
      </c>
      <c r="L98" s="16" t="s">
        <v>23</v>
      </c>
      <c r="M98" s="16" t="s">
        <v>24</v>
      </c>
      <c r="N98" s="16" t="s">
        <v>15</v>
      </c>
    </row>
    <row r="99" spans="1:15" x14ac:dyDescent="0.35">
      <c r="A99" s="16" t="s">
        <v>5</v>
      </c>
      <c r="D99" s="16">
        <v>0</v>
      </c>
      <c r="E99" s="16">
        <v>0</v>
      </c>
      <c r="N99" s="16">
        <v>10</v>
      </c>
      <c r="O99" s="16" t="s">
        <v>43</v>
      </c>
    </row>
    <row r="100" spans="1:15" x14ac:dyDescent="0.35">
      <c r="A100" s="16" t="s">
        <v>6</v>
      </c>
      <c r="B100" s="16" t="s">
        <v>11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2</v>
      </c>
      <c r="O100" s="16" t="s">
        <v>44</v>
      </c>
    </row>
    <row r="101" spans="1:15" x14ac:dyDescent="0.35">
      <c r="B101" s="16" t="s">
        <v>72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4</v>
      </c>
      <c r="O101" s="16" t="s">
        <v>45</v>
      </c>
    </row>
    <row r="102" spans="1:15" x14ac:dyDescent="0.35">
      <c r="B102" s="16" t="s">
        <v>18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2.5</v>
      </c>
      <c r="O102" s="16" t="s">
        <v>46</v>
      </c>
    </row>
    <row r="103" spans="1:15" x14ac:dyDescent="0.35">
      <c r="B103" s="16" t="s">
        <v>13</v>
      </c>
      <c r="D103" s="16">
        <v>0</v>
      </c>
      <c r="E103" s="16">
        <v>2</v>
      </c>
      <c r="F103" s="16">
        <v>2</v>
      </c>
      <c r="G103" s="16">
        <v>0</v>
      </c>
      <c r="H103" s="16">
        <v>0</v>
      </c>
      <c r="I103" s="16">
        <v>2</v>
      </c>
      <c r="J103" s="16">
        <v>0</v>
      </c>
      <c r="K103" s="16">
        <v>0</v>
      </c>
      <c r="L103" s="16">
        <v>0</v>
      </c>
      <c r="M103" s="16">
        <v>0</v>
      </c>
    </row>
    <row r="104" spans="1:15" x14ac:dyDescent="0.35">
      <c r="A104" s="16" t="s">
        <v>7</v>
      </c>
      <c r="B104" s="16" t="s">
        <v>11</v>
      </c>
      <c r="D104" s="16">
        <v>1</v>
      </c>
      <c r="E104" s="16">
        <v>1</v>
      </c>
      <c r="F104" s="16">
        <v>2</v>
      </c>
      <c r="G104" s="16">
        <v>0</v>
      </c>
      <c r="H104" s="16">
        <v>0</v>
      </c>
      <c r="I104" s="16">
        <v>0</v>
      </c>
      <c r="J104" s="16">
        <v>2</v>
      </c>
      <c r="K104" s="16">
        <v>0</v>
      </c>
      <c r="L104" s="16">
        <v>0</v>
      </c>
      <c r="M104" s="16">
        <v>0</v>
      </c>
    </row>
    <row r="105" spans="1:15" x14ac:dyDescent="0.35">
      <c r="B105" s="16" t="s">
        <v>72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</row>
    <row r="106" spans="1:15" x14ac:dyDescent="0.35">
      <c r="B106" s="16" t="s">
        <v>18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</row>
    <row r="107" spans="1:15" x14ac:dyDescent="0.35">
      <c r="B107" s="16" t="s">
        <v>13</v>
      </c>
      <c r="D107" s="16">
        <v>3</v>
      </c>
      <c r="E107" s="16">
        <v>5</v>
      </c>
      <c r="F107" s="16">
        <v>8</v>
      </c>
      <c r="G107" s="16">
        <v>0</v>
      </c>
      <c r="H107" s="16">
        <v>0</v>
      </c>
      <c r="I107" s="16">
        <v>8</v>
      </c>
      <c r="J107" s="16">
        <v>0</v>
      </c>
      <c r="K107" s="16">
        <v>0</v>
      </c>
      <c r="L107" s="16">
        <v>0</v>
      </c>
      <c r="M107" s="16">
        <v>0</v>
      </c>
    </row>
    <row r="108" spans="1:15" x14ac:dyDescent="0.35">
      <c r="A108" s="16" t="s">
        <v>8</v>
      </c>
      <c r="B108" s="16" t="s">
        <v>11</v>
      </c>
      <c r="D108" s="16">
        <v>0</v>
      </c>
      <c r="E108" s="16">
        <v>1</v>
      </c>
      <c r="F108" s="16">
        <v>1</v>
      </c>
      <c r="G108" s="16">
        <v>0</v>
      </c>
      <c r="H108" s="16">
        <v>0</v>
      </c>
      <c r="I108" s="16">
        <v>0</v>
      </c>
      <c r="J108" s="16">
        <v>1</v>
      </c>
      <c r="K108" s="16">
        <v>0</v>
      </c>
      <c r="L108" s="16">
        <v>0</v>
      </c>
      <c r="M108" s="16">
        <v>0</v>
      </c>
    </row>
    <row r="109" spans="1:15" x14ac:dyDescent="0.35">
      <c r="B109" s="16" t="s">
        <v>72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</row>
    <row r="110" spans="1:15" x14ac:dyDescent="0.35">
      <c r="B110" s="16" t="s">
        <v>18</v>
      </c>
      <c r="D110" s="16">
        <v>3</v>
      </c>
      <c r="E110" s="16">
        <v>0</v>
      </c>
      <c r="F110" s="16">
        <v>3</v>
      </c>
      <c r="G110" s="16">
        <v>0</v>
      </c>
      <c r="H110" s="16">
        <v>0</v>
      </c>
      <c r="I110" s="16">
        <v>3</v>
      </c>
      <c r="J110" s="16">
        <v>0</v>
      </c>
      <c r="K110" s="16">
        <v>0</v>
      </c>
      <c r="L110" s="16">
        <v>0</v>
      </c>
      <c r="M110" s="16">
        <v>0</v>
      </c>
    </row>
    <row r="111" spans="1:15" x14ac:dyDescent="0.35">
      <c r="B111" s="16" t="s">
        <v>13</v>
      </c>
      <c r="D111" s="16">
        <v>1</v>
      </c>
      <c r="E111" s="16">
        <v>2</v>
      </c>
      <c r="F111" s="16">
        <v>2</v>
      </c>
      <c r="G111" s="16">
        <v>1</v>
      </c>
      <c r="H111" s="16">
        <v>0</v>
      </c>
      <c r="I111" s="16">
        <v>3</v>
      </c>
      <c r="J111" s="16">
        <v>0</v>
      </c>
      <c r="K111" s="16">
        <v>0</v>
      </c>
      <c r="L111" s="16">
        <v>0</v>
      </c>
      <c r="M111" s="16">
        <v>0</v>
      </c>
    </row>
    <row r="112" spans="1:15" x14ac:dyDescent="0.35">
      <c r="B112" s="16" t="s">
        <v>74</v>
      </c>
      <c r="D112" s="16">
        <v>0</v>
      </c>
      <c r="E112" s="16">
        <v>1</v>
      </c>
      <c r="F112" s="16">
        <v>1</v>
      </c>
      <c r="G112" s="16">
        <v>0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</row>
    <row r="113" spans="1:15" x14ac:dyDescent="0.35">
      <c r="A113" s="16" t="s">
        <v>9</v>
      </c>
      <c r="B113" s="16" t="s">
        <v>11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</row>
    <row r="114" spans="1:15" x14ac:dyDescent="0.35">
      <c r="B114" s="16" t="s">
        <v>72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</row>
    <row r="115" spans="1:15" x14ac:dyDescent="0.35">
      <c r="B115" s="16" t="s">
        <v>18</v>
      </c>
      <c r="D115" s="16">
        <v>0</v>
      </c>
      <c r="E115" s="16">
        <v>1</v>
      </c>
      <c r="F115" s="16">
        <v>1</v>
      </c>
      <c r="G115" s="16">
        <v>0</v>
      </c>
      <c r="H115" s="16">
        <v>0</v>
      </c>
      <c r="I115" s="16">
        <v>1</v>
      </c>
      <c r="J115" s="16">
        <v>0</v>
      </c>
      <c r="K115" s="16">
        <v>0</v>
      </c>
      <c r="L115" s="16">
        <v>0</v>
      </c>
      <c r="M115" s="16">
        <v>0</v>
      </c>
    </row>
    <row r="116" spans="1:15" x14ac:dyDescent="0.35">
      <c r="B116" s="16" t="s">
        <v>13</v>
      </c>
      <c r="D116" s="16">
        <v>0</v>
      </c>
      <c r="E116" s="16">
        <v>1</v>
      </c>
      <c r="F116" s="16">
        <v>1</v>
      </c>
      <c r="G116" s="16">
        <v>0</v>
      </c>
      <c r="H116" s="16">
        <v>0</v>
      </c>
      <c r="I116" s="16">
        <v>1</v>
      </c>
      <c r="J116" s="16">
        <v>0</v>
      </c>
      <c r="K116" s="16">
        <v>0</v>
      </c>
      <c r="L116" s="16">
        <v>0</v>
      </c>
      <c r="M116" s="16">
        <v>0</v>
      </c>
    </row>
    <row r="117" spans="1:15" x14ac:dyDescent="0.35">
      <c r="B117" s="16" t="s">
        <v>74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</row>
    <row r="119" spans="1:15" x14ac:dyDescent="0.35">
      <c r="A119" s="18" t="s">
        <v>84</v>
      </c>
      <c r="B119" s="20">
        <v>44641</v>
      </c>
      <c r="C119" s="16" t="s">
        <v>62</v>
      </c>
      <c r="D119" s="16" t="s">
        <v>3</v>
      </c>
      <c r="E119" s="16" t="s">
        <v>4</v>
      </c>
      <c r="F119" s="16" t="s">
        <v>10</v>
      </c>
      <c r="G119" s="16" t="s">
        <v>17</v>
      </c>
      <c r="H119" s="16" t="s">
        <v>19</v>
      </c>
      <c r="I119" s="16" t="s">
        <v>20</v>
      </c>
      <c r="J119" s="16" t="s">
        <v>21</v>
      </c>
      <c r="K119" s="16" t="s">
        <v>22</v>
      </c>
      <c r="L119" s="16" t="s">
        <v>23</v>
      </c>
      <c r="M119" s="16" t="s">
        <v>24</v>
      </c>
      <c r="N119" s="16" t="s">
        <v>15</v>
      </c>
    </row>
    <row r="120" spans="1:15" x14ac:dyDescent="0.35">
      <c r="A120" s="16" t="s">
        <v>5</v>
      </c>
      <c r="D120" s="16">
        <v>0</v>
      </c>
      <c r="E120" s="16">
        <v>0</v>
      </c>
      <c r="N120" s="16">
        <v>8</v>
      </c>
      <c r="O120" s="16" t="s">
        <v>43</v>
      </c>
    </row>
    <row r="121" spans="1:15" x14ac:dyDescent="0.35">
      <c r="A121" s="16" t="s">
        <v>6</v>
      </c>
      <c r="B121" s="16" t="s">
        <v>11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2</v>
      </c>
      <c r="O121" s="16" t="s">
        <v>44</v>
      </c>
    </row>
    <row r="122" spans="1:15" x14ac:dyDescent="0.35">
      <c r="B122" s="16" t="s">
        <v>72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2</v>
      </c>
      <c r="O122" s="16" t="s">
        <v>45</v>
      </c>
    </row>
    <row r="123" spans="1:15" x14ac:dyDescent="0.35">
      <c r="B123" s="16" t="s">
        <v>18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2</v>
      </c>
      <c r="O123" s="16" t="s">
        <v>46</v>
      </c>
    </row>
    <row r="124" spans="1:15" x14ac:dyDescent="0.35">
      <c r="B124" s="16" t="s">
        <v>13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</row>
    <row r="125" spans="1:15" x14ac:dyDescent="0.35">
      <c r="A125" s="16" t="s">
        <v>7</v>
      </c>
      <c r="B125" s="16" t="s">
        <v>11</v>
      </c>
      <c r="D125" s="16">
        <v>0</v>
      </c>
      <c r="E125" s="16">
        <v>1</v>
      </c>
      <c r="F125" s="16">
        <v>1</v>
      </c>
      <c r="G125" s="16">
        <v>0</v>
      </c>
      <c r="H125" s="16">
        <v>0</v>
      </c>
      <c r="I125" s="16">
        <v>0</v>
      </c>
      <c r="J125" s="16">
        <v>1</v>
      </c>
      <c r="K125" s="16">
        <v>0</v>
      </c>
      <c r="L125" s="16">
        <v>0</v>
      </c>
      <c r="M125" s="16">
        <v>0</v>
      </c>
    </row>
    <row r="126" spans="1:15" x14ac:dyDescent="0.35">
      <c r="B126" s="16" t="s">
        <v>72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pans="1:15" x14ac:dyDescent="0.35">
      <c r="B127" s="16" t="s">
        <v>18</v>
      </c>
      <c r="D127" s="16">
        <v>0</v>
      </c>
      <c r="E127" s="16">
        <v>1</v>
      </c>
      <c r="F127" s="16">
        <v>1</v>
      </c>
      <c r="G127" s="16">
        <v>0</v>
      </c>
      <c r="H127" s="16">
        <v>0</v>
      </c>
      <c r="I127" s="16">
        <v>1</v>
      </c>
      <c r="J127" s="16">
        <v>0</v>
      </c>
      <c r="K127" s="16">
        <v>0</v>
      </c>
      <c r="L127" s="16">
        <v>0</v>
      </c>
      <c r="M127" s="16">
        <v>0</v>
      </c>
    </row>
    <row r="128" spans="1:15" x14ac:dyDescent="0.35">
      <c r="B128" s="16" t="s">
        <v>13</v>
      </c>
      <c r="D128" s="16">
        <v>1</v>
      </c>
      <c r="E128" s="16">
        <v>0</v>
      </c>
      <c r="F128" s="16">
        <v>1</v>
      </c>
      <c r="G128" s="16">
        <v>0</v>
      </c>
      <c r="H128" s="16">
        <v>0</v>
      </c>
      <c r="I128" s="16">
        <v>0</v>
      </c>
      <c r="J128" s="16">
        <v>1</v>
      </c>
      <c r="K128" s="16">
        <v>0</v>
      </c>
      <c r="L128" s="16">
        <v>0</v>
      </c>
      <c r="M128" s="16">
        <v>0</v>
      </c>
    </row>
    <row r="129" spans="1:15" x14ac:dyDescent="0.35">
      <c r="A129" s="16" t="s">
        <v>8</v>
      </c>
      <c r="B129" s="16" t="s">
        <v>11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</row>
    <row r="130" spans="1:15" x14ac:dyDescent="0.35">
      <c r="B130" s="16" t="s">
        <v>72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</row>
    <row r="131" spans="1:15" x14ac:dyDescent="0.35">
      <c r="B131" s="16" t="s">
        <v>18</v>
      </c>
      <c r="D131" s="16">
        <v>2</v>
      </c>
      <c r="E131" s="16">
        <v>1</v>
      </c>
      <c r="F131" s="16">
        <v>3</v>
      </c>
      <c r="G131" s="16">
        <v>0</v>
      </c>
      <c r="H131" s="16">
        <v>0</v>
      </c>
      <c r="I131" s="16">
        <v>3</v>
      </c>
      <c r="J131" s="16">
        <v>0</v>
      </c>
      <c r="K131" s="16">
        <v>0</v>
      </c>
      <c r="L131" s="16">
        <v>0</v>
      </c>
      <c r="M131" s="16">
        <v>0</v>
      </c>
    </row>
    <row r="132" spans="1:15" x14ac:dyDescent="0.35">
      <c r="B132" s="16" t="s">
        <v>13</v>
      </c>
      <c r="D132" s="16">
        <v>5</v>
      </c>
      <c r="E132" s="16">
        <v>4</v>
      </c>
      <c r="F132" s="16">
        <v>9</v>
      </c>
      <c r="G132" s="16">
        <v>0</v>
      </c>
      <c r="H132" s="16">
        <v>0</v>
      </c>
      <c r="I132" s="16">
        <v>2</v>
      </c>
      <c r="J132" s="16">
        <v>7</v>
      </c>
      <c r="K132" s="16">
        <v>0</v>
      </c>
      <c r="L132" s="16">
        <v>0</v>
      </c>
      <c r="M132" s="16">
        <v>0</v>
      </c>
    </row>
    <row r="133" spans="1:15" x14ac:dyDescent="0.35">
      <c r="B133" s="16" t="s">
        <v>74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</row>
    <row r="134" spans="1:15" x14ac:dyDescent="0.35">
      <c r="A134" s="16" t="s">
        <v>9</v>
      </c>
      <c r="B134" s="16" t="s">
        <v>11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</row>
    <row r="135" spans="1:15" x14ac:dyDescent="0.35">
      <c r="B135" s="16" t="s">
        <v>72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</row>
    <row r="136" spans="1:15" x14ac:dyDescent="0.35">
      <c r="B136" s="16" t="s">
        <v>18</v>
      </c>
      <c r="D136" s="16">
        <v>1</v>
      </c>
      <c r="E136" s="16">
        <v>2</v>
      </c>
      <c r="F136" s="16">
        <v>3</v>
      </c>
      <c r="G136" s="16">
        <v>0</v>
      </c>
      <c r="H136" s="16">
        <v>0</v>
      </c>
      <c r="I136" s="16">
        <v>3</v>
      </c>
      <c r="J136" s="16">
        <v>0</v>
      </c>
      <c r="K136" s="16">
        <v>0</v>
      </c>
      <c r="L136" s="16">
        <v>0</v>
      </c>
      <c r="M136" s="16">
        <v>0</v>
      </c>
    </row>
    <row r="137" spans="1:15" x14ac:dyDescent="0.35">
      <c r="B137" s="16" t="s">
        <v>13</v>
      </c>
      <c r="D137" s="16">
        <v>0</v>
      </c>
      <c r="E137" s="16">
        <v>1</v>
      </c>
      <c r="F137" s="16">
        <v>1</v>
      </c>
      <c r="G137" s="16">
        <v>0</v>
      </c>
      <c r="H137" s="16">
        <v>0</v>
      </c>
      <c r="I137" s="16">
        <v>1</v>
      </c>
      <c r="J137" s="16">
        <v>0</v>
      </c>
      <c r="K137" s="16">
        <v>0</v>
      </c>
      <c r="L137" s="16">
        <v>0</v>
      </c>
      <c r="M137" s="16">
        <v>0</v>
      </c>
    </row>
    <row r="138" spans="1:15" x14ac:dyDescent="0.35">
      <c r="B138" s="16" t="s">
        <v>74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</row>
    <row r="140" spans="1:15" x14ac:dyDescent="0.35">
      <c r="A140" s="18" t="s">
        <v>84</v>
      </c>
      <c r="B140" s="20">
        <v>44643</v>
      </c>
      <c r="C140" s="16" t="s">
        <v>42</v>
      </c>
      <c r="D140" s="16" t="s">
        <v>3</v>
      </c>
      <c r="E140" s="16" t="s">
        <v>4</v>
      </c>
      <c r="F140" s="16" t="s">
        <v>10</v>
      </c>
      <c r="G140" s="16" t="s">
        <v>17</v>
      </c>
      <c r="H140" s="16" t="s">
        <v>19</v>
      </c>
      <c r="I140" s="16" t="s">
        <v>20</v>
      </c>
      <c r="J140" s="16" t="s">
        <v>21</v>
      </c>
      <c r="K140" s="16" t="s">
        <v>22</v>
      </c>
      <c r="L140" s="16" t="s">
        <v>23</v>
      </c>
      <c r="M140" s="16" t="s">
        <v>24</v>
      </c>
      <c r="N140" s="16" t="s">
        <v>15</v>
      </c>
    </row>
    <row r="141" spans="1:15" x14ac:dyDescent="0.35">
      <c r="A141" s="16" t="s">
        <v>5</v>
      </c>
      <c r="D141" s="16">
        <v>1</v>
      </c>
      <c r="E141" s="16">
        <v>0</v>
      </c>
      <c r="N141" s="16">
        <v>4</v>
      </c>
      <c r="O141" s="16" t="s">
        <v>43</v>
      </c>
    </row>
    <row r="142" spans="1:15" x14ac:dyDescent="0.35">
      <c r="A142" s="16" t="s">
        <v>6</v>
      </c>
      <c r="B142" s="16" t="s">
        <v>11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2</v>
      </c>
      <c r="O142" s="16" t="s">
        <v>44</v>
      </c>
    </row>
    <row r="143" spans="1:15" x14ac:dyDescent="0.35">
      <c r="B143" s="16" t="s">
        <v>72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2</v>
      </c>
      <c r="O143" s="16" t="s">
        <v>45</v>
      </c>
    </row>
    <row r="144" spans="1:15" x14ac:dyDescent="0.35">
      <c r="B144" s="16" t="s">
        <v>18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2</v>
      </c>
      <c r="O144" s="16" t="s">
        <v>46</v>
      </c>
    </row>
    <row r="145" spans="1:13" x14ac:dyDescent="0.35">
      <c r="B145" s="16" t="s">
        <v>13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</row>
    <row r="146" spans="1:13" x14ac:dyDescent="0.35">
      <c r="A146" s="16" t="s">
        <v>7</v>
      </c>
      <c r="B146" s="16" t="s">
        <v>11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</row>
    <row r="147" spans="1:13" x14ac:dyDescent="0.35">
      <c r="B147" s="16" t="s">
        <v>72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</row>
    <row r="148" spans="1:13" x14ac:dyDescent="0.35">
      <c r="B148" s="16" t="s">
        <v>18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</row>
    <row r="149" spans="1:13" x14ac:dyDescent="0.35">
      <c r="B149" s="16" t="s">
        <v>13</v>
      </c>
      <c r="D149" s="16">
        <v>0</v>
      </c>
      <c r="E149" s="16">
        <v>2</v>
      </c>
      <c r="F149" s="16">
        <v>1</v>
      </c>
      <c r="G149" s="16">
        <v>1</v>
      </c>
      <c r="H149" s="16">
        <v>0</v>
      </c>
      <c r="I149" s="16">
        <v>2</v>
      </c>
      <c r="J149" s="16">
        <v>0</v>
      </c>
      <c r="K149" s="16">
        <v>0</v>
      </c>
      <c r="L149" s="16">
        <v>0</v>
      </c>
      <c r="M149" s="16">
        <v>0</v>
      </c>
    </row>
    <row r="150" spans="1:13" x14ac:dyDescent="0.35">
      <c r="A150" s="16" t="s">
        <v>8</v>
      </c>
      <c r="B150" s="16" t="s">
        <v>11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</row>
    <row r="151" spans="1:13" x14ac:dyDescent="0.35">
      <c r="B151" s="16" t="s">
        <v>72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</row>
    <row r="152" spans="1:13" x14ac:dyDescent="0.35">
      <c r="B152" s="16" t="s">
        <v>18</v>
      </c>
      <c r="D152" s="16">
        <v>6</v>
      </c>
      <c r="E152" s="16">
        <v>1</v>
      </c>
      <c r="F152" s="16">
        <v>7</v>
      </c>
      <c r="G152" s="16">
        <v>0</v>
      </c>
      <c r="H152" s="16">
        <v>0</v>
      </c>
      <c r="I152" s="16">
        <v>7</v>
      </c>
      <c r="J152" s="16">
        <v>0</v>
      </c>
      <c r="K152" s="16">
        <v>0</v>
      </c>
      <c r="L152" s="16">
        <v>0</v>
      </c>
      <c r="M152" s="16">
        <v>0</v>
      </c>
    </row>
    <row r="153" spans="1:13" x14ac:dyDescent="0.35">
      <c r="B153" s="16" t="s">
        <v>13</v>
      </c>
      <c r="D153" s="16">
        <v>2</v>
      </c>
      <c r="E153" s="16">
        <v>0</v>
      </c>
      <c r="F153" s="16">
        <v>2</v>
      </c>
      <c r="G153" s="16">
        <v>0</v>
      </c>
      <c r="H153" s="16">
        <v>0</v>
      </c>
      <c r="I153" s="16">
        <v>2</v>
      </c>
      <c r="J153" s="16">
        <v>0</v>
      </c>
      <c r="K153" s="16">
        <v>0</v>
      </c>
      <c r="L153" s="16">
        <v>0</v>
      </c>
      <c r="M153" s="16">
        <v>0</v>
      </c>
    </row>
    <row r="154" spans="1:13" x14ac:dyDescent="0.35">
      <c r="B154" s="16" t="s">
        <v>74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</row>
    <row r="155" spans="1:13" x14ac:dyDescent="0.35">
      <c r="A155" s="16" t="s">
        <v>9</v>
      </c>
      <c r="B155" s="16" t="s">
        <v>11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</row>
    <row r="156" spans="1:13" x14ac:dyDescent="0.35">
      <c r="B156" s="16" t="s">
        <v>72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</row>
    <row r="157" spans="1:13" x14ac:dyDescent="0.35">
      <c r="B157" s="16" t="s">
        <v>18</v>
      </c>
      <c r="D157" s="16">
        <v>1</v>
      </c>
      <c r="E157" s="16">
        <v>0</v>
      </c>
      <c r="F157" s="16">
        <v>1</v>
      </c>
      <c r="G157" s="16">
        <v>0</v>
      </c>
      <c r="H157" s="16">
        <v>0</v>
      </c>
      <c r="I157" s="16">
        <v>1</v>
      </c>
      <c r="J157" s="16">
        <v>0</v>
      </c>
      <c r="K157" s="16">
        <v>0</v>
      </c>
      <c r="L157" s="16">
        <v>0</v>
      </c>
      <c r="M157" s="16">
        <v>0</v>
      </c>
    </row>
    <row r="158" spans="1:13" x14ac:dyDescent="0.35">
      <c r="B158" s="16" t="s">
        <v>13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</row>
    <row r="159" spans="1:13" x14ac:dyDescent="0.35">
      <c r="B159" s="16" t="s">
        <v>74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</row>
    <row r="161" spans="1:16" x14ac:dyDescent="0.35">
      <c r="A161" s="18" t="s">
        <v>84</v>
      </c>
      <c r="B161" s="20">
        <v>44643</v>
      </c>
      <c r="C161" s="16" t="s">
        <v>81</v>
      </c>
      <c r="D161" s="16" t="s">
        <v>3</v>
      </c>
      <c r="E161" s="16" t="s">
        <v>4</v>
      </c>
      <c r="F161" s="16" t="s">
        <v>10</v>
      </c>
      <c r="G161" s="16" t="s">
        <v>17</v>
      </c>
      <c r="H161" s="16" t="s">
        <v>19</v>
      </c>
      <c r="I161" s="16" t="s">
        <v>20</v>
      </c>
      <c r="J161" s="16" t="s">
        <v>21</v>
      </c>
      <c r="K161" s="16" t="s">
        <v>22</v>
      </c>
      <c r="L161" s="16" t="s">
        <v>23</v>
      </c>
      <c r="M161" s="16" t="s">
        <v>24</v>
      </c>
      <c r="N161" s="16" t="s">
        <v>15</v>
      </c>
    </row>
    <row r="162" spans="1:16" x14ac:dyDescent="0.35">
      <c r="A162" s="16" t="s">
        <v>5</v>
      </c>
      <c r="D162" s="16">
        <v>0</v>
      </c>
      <c r="E162" s="16">
        <v>1</v>
      </c>
      <c r="N162" s="16">
        <v>10</v>
      </c>
      <c r="O162" s="16" t="s">
        <v>43</v>
      </c>
    </row>
    <row r="163" spans="1:16" x14ac:dyDescent="0.35">
      <c r="A163" s="16" t="s">
        <v>6</v>
      </c>
      <c r="B163" s="16" t="s">
        <v>11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2</v>
      </c>
      <c r="O163" s="16" t="s">
        <v>44</v>
      </c>
    </row>
    <row r="164" spans="1:16" x14ac:dyDescent="0.35">
      <c r="B164" s="16" t="s">
        <v>72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4</v>
      </c>
      <c r="O164" s="16" t="s">
        <v>45</v>
      </c>
    </row>
    <row r="165" spans="1:16" x14ac:dyDescent="0.35">
      <c r="B165" s="16" t="s">
        <v>18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2.5</v>
      </c>
      <c r="O165" s="16" t="s">
        <v>46</v>
      </c>
    </row>
    <row r="166" spans="1:16" x14ac:dyDescent="0.35">
      <c r="B166" s="16" t="s">
        <v>13</v>
      </c>
      <c r="D166" s="16">
        <v>0</v>
      </c>
      <c r="E166" s="16">
        <v>1</v>
      </c>
      <c r="F166" s="16">
        <v>0</v>
      </c>
      <c r="G166" s="16">
        <v>1</v>
      </c>
      <c r="H166" s="16">
        <v>0</v>
      </c>
      <c r="I166" s="16">
        <v>1</v>
      </c>
      <c r="J166" s="16">
        <v>0</v>
      </c>
      <c r="K166" s="16">
        <v>0</v>
      </c>
      <c r="L166" s="16">
        <v>0</v>
      </c>
      <c r="M166" s="16">
        <v>0</v>
      </c>
    </row>
    <row r="167" spans="1:16" x14ac:dyDescent="0.35">
      <c r="A167" s="16" t="s">
        <v>7</v>
      </c>
      <c r="B167" s="16" t="s">
        <v>11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O167" s="21"/>
      <c r="P167" s="21"/>
    </row>
    <row r="168" spans="1:16" x14ac:dyDescent="0.35">
      <c r="B168" s="16" t="s">
        <v>72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O168" s="21"/>
      <c r="P168" s="21"/>
    </row>
    <row r="169" spans="1:16" x14ac:dyDescent="0.35">
      <c r="B169" s="16" t="s">
        <v>18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</row>
    <row r="170" spans="1:16" x14ac:dyDescent="0.35">
      <c r="B170" s="16" t="s">
        <v>13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</row>
    <row r="171" spans="1:16" x14ac:dyDescent="0.35">
      <c r="A171" s="16" t="s">
        <v>8</v>
      </c>
      <c r="B171" s="16" t="s">
        <v>11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</row>
    <row r="172" spans="1:16" x14ac:dyDescent="0.35">
      <c r="B172" s="16" t="s">
        <v>72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</row>
    <row r="173" spans="1:16" x14ac:dyDescent="0.35">
      <c r="B173" s="16" t="s">
        <v>18</v>
      </c>
      <c r="D173" s="16">
        <v>0</v>
      </c>
      <c r="E173" s="16">
        <v>1</v>
      </c>
      <c r="F173" s="16">
        <v>1</v>
      </c>
      <c r="G173" s="16">
        <v>0</v>
      </c>
      <c r="H173" s="16">
        <v>0</v>
      </c>
      <c r="I173" s="16">
        <v>1</v>
      </c>
      <c r="J173" s="16">
        <v>0</v>
      </c>
      <c r="K173" s="16">
        <v>0</v>
      </c>
      <c r="L173" s="16">
        <v>0</v>
      </c>
      <c r="M173" s="16">
        <v>0</v>
      </c>
    </row>
    <row r="174" spans="1:16" x14ac:dyDescent="0.35">
      <c r="B174" s="16" t="s">
        <v>13</v>
      </c>
      <c r="D174" s="16">
        <v>4</v>
      </c>
      <c r="E174" s="16">
        <v>3</v>
      </c>
      <c r="F174" s="16">
        <v>7</v>
      </c>
      <c r="G174" s="16">
        <v>0</v>
      </c>
      <c r="H174" s="16">
        <v>0</v>
      </c>
      <c r="I174" s="16">
        <v>7</v>
      </c>
      <c r="J174" s="16">
        <v>0</v>
      </c>
      <c r="K174" s="16">
        <v>0</v>
      </c>
      <c r="L174" s="16">
        <v>0</v>
      </c>
      <c r="M174" s="16">
        <v>0</v>
      </c>
    </row>
    <row r="175" spans="1:16" x14ac:dyDescent="0.35">
      <c r="B175" s="16" t="s">
        <v>74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</row>
    <row r="176" spans="1:16" x14ac:dyDescent="0.35">
      <c r="A176" s="16" t="s">
        <v>9</v>
      </c>
      <c r="B176" s="16" t="s">
        <v>11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</row>
    <row r="177" spans="1:15" x14ac:dyDescent="0.35">
      <c r="B177" s="16" t="s">
        <v>72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</row>
    <row r="178" spans="1:15" x14ac:dyDescent="0.35">
      <c r="B178" s="16" t="s">
        <v>18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</row>
    <row r="179" spans="1:15" x14ac:dyDescent="0.35">
      <c r="B179" s="16" t="s">
        <v>13</v>
      </c>
      <c r="D179" s="16">
        <v>1</v>
      </c>
      <c r="E179" s="16">
        <v>4</v>
      </c>
      <c r="F179" s="16">
        <v>5</v>
      </c>
      <c r="G179" s="16">
        <v>0</v>
      </c>
      <c r="H179" s="16">
        <v>0</v>
      </c>
      <c r="I179" s="16">
        <v>5</v>
      </c>
      <c r="J179" s="16">
        <v>0</v>
      </c>
      <c r="K179" s="16">
        <v>0</v>
      </c>
      <c r="L179" s="16">
        <v>0</v>
      </c>
      <c r="M179" s="16">
        <v>0</v>
      </c>
    </row>
    <row r="180" spans="1:15" x14ac:dyDescent="0.35">
      <c r="B180" s="16" t="s">
        <v>74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</row>
    <row r="182" spans="1:15" x14ac:dyDescent="0.35">
      <c r="A182" s="18" t="s">
        <v>84</v>
      </c>
      <c r="B182" s="20">
        <v>44643</v>
      </c>
      <c r="C182" s="16" t="s">
        <v>82</v>
      </c>
      <c r="D182" s="16" t="s">
        <v>3</v>
      </c>
      <c r="E182" s="16" t="s">
        <v>4</v>
      </c>
      <c r="F182" s="16" t="s">
        <v>10</v>
      </c>
      <c r="G182" s="16" t="s">
        <v>17</v>
      </c>
      <c r="H182" s="16" t="s">
        <v>19</v>
      </c>
      <c r="I182" s="16" t="s">
        <v>20</v>
      </c>
      <c r="J182" s="16" t="s">
        <v>21</v>
      </c>
      <c r="K182" s="16" t="s">
        <v>22</v>
      </c>
      <c r="L182" s="16" t="s">
        <v>23</v>
      </c>
      <c r="M182" s="16" t="s">
        <v>24</v>
      </c>
      <c r="N182" s="16" t="s">
        <v>15</v>
      </c>
    </row>
    <row r="183" spans="1:15" x14ac:dyDescent="0.35">
      <c r="A183" s="16" t="s">
        <v>5</v>
      </c>
      <c r="D183" s="16">
        <v>1</v>
      </c>
      <c r="E183" s="16">
        <v>0</v>
      </c>
      <c r="N183" s="16">
        <v>12</v>
      </c>
      <c r="O183" s="16" t="s">
        <v>43</v>
      </c>
    </row>
    <row r="184" spans="1:15" x14ac:dyDescent="0.35">
      <c r="A184" s="16" t="s">
        <v>6</v>
      </c>
      <c r="B184" s="16" t="s">
        <v>11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2</v>
      </c>
      <c r="O184" s="16" t="s">
        <v>44</v>
      </c>
    </row>
    <row r="185" spans="1:15" x14ac:dyDescent="0.35">
      <c r="B185" s="16" t="s">
        <v>72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7</v>
      </c>
      <c r="O185" s="16" t="s">
        <v>45</v>
      </c>
    </row>
    <row r="186" spans="1:15" x14ac:dyDescent="0.35">
      <c r="B186" s="16" t="s">
        <v>18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4</v>
      </c>
      <c r="O186" s="16" t="s">
        <v>46</v>
      </c>
    </row>
    <row r="187" spans="1:15" x14ac:dyDescent="0.35">
      <c r="B187" s="16" t="s">
        <v>13</v>
      </c>
      <c r="D187" s="16">
        <v>0</v>
      </c>
      <c r="E187" s="16">
        <v>1</v>
      </c>
      <c r="F187" s="16">
        <v>1</v>
      </c>
      <c r="G187" s="16">
        <v>0</v>
      </c>
      <c r="H187" s="16">
        <v>0</v>
      </c>
      <c r="I187" s="16">
        <v>1</v>
      </c>
      <c r="J187" s="16">
        <v>0</v>
      </c>
      <c r="K187" s="16">
        <v>0</v>
      </c>
      <c r="L187" s="16">
        <v>0</v>
      </c>
      <c r="M187" s="16">
        <v>0</v>
      </c>
    </row>
    <row r="188" spans="1:15" x14ac:dyDescent="0.35">
      <c r="A188" s="16" t="s">
        <v>7</v>
      </c>
      <c r="B188" s="16" t="s">
        <v>11</v>
      </c>
      <c r="D188" s="16">
        <v>0</v>
      </c>
      <c r="E188" s="16">
        <v>2</v>
      </c>
      <c r="F188" s="16">
        <v>2</v>
      </c>
      <c r="G188" s="16">
        <v>0</v>
      </c>
      <c r="H188" s="16">
        <v>0</v>
      </c>
      <c r="I188" s="16">
        <v>0</v>
      </c>
      <c r="J188" s="16">
        <v>2</v>
      </c>
      <c r="K188" s="16">
        <v>0</v>
      </c>
      <c r="L188" s="16">
        <v>0</v>
      </c>
      <c r="M188" s="16">
        <v>0</v>
      </c>
    </row>
    <row r="189" spans="1:15" x14ac:dyDescent="0.35">
      <c r="B189" s="16" t="s">
        <v>72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</row>
    <row r="190" spans="1:15" x14ac:dyDescent="0.35">
      <c r="B190" s="16" t="s">
        <v>18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</row>
    <row r="191" spans="1:15" x14ac:dyDescent="0.35">
      <c r="B191" s="16" t="s">
        <v>13</v>
      </c>
      <c r="D191" s="16">
        <v>1</v>
      </c>
      <c r="E191" s="16">
        <v>6</v>
      </c>
      <c r="F191" s="16">
        <v>7</v>
      </c>
      <c r="G191" s="16">
        <v>0</v>
      </c>
      <c r="H191" s="16">
        <v>0</v>
      </c>
      <c r="I191" s="16">
        <v>7</v>
      </c>
      <c r="J191" s="16">
        <v>0</v>
      </c>
      <c r="K191" s="16">
        <v>0</v>
      </c>
      <c r="L191" s="16">
        <v>0</v>
      </c>
      <c r="M191" s="16">
        <v>0</v>
      </c>
    </row>
    <row r="192" spans="1:15" x14ac:dyDescent="0.35">
      <c r="A192" s="16" t="s">
        <v>8</v>
      </c>
      <c r="B192" s="16" t="s">
        <v>11</v>
      </c>
      <c r="D192" s="16">
        <v>0</v>
      </c>
      <c r="E192" s="16">
        <v>1</v>
      </c>
      <c r="F192" s="16">
        <v>1</v>
      </c>
      <c r="G192" s="16">
        <v>0</v>
      </c>
      <c r="H192" s="16">
        <v>0</v>
      </c>
      <c r="I192" s="16">
        <v>0</v>
      </c>
      <c r="J192" s="16">
        <v>1</v>
      </c>
      <c r="K192" s="16">
        <v>0</v>
      </c>
      <c r="L192" s="16">
        <v>0</v>
      </c>
      <c r="M192" s="16">
        <v>0</v>
      </c>
    </row>
    <row r="193" spans="1:15" x14ac:dyDescent="0.35">
      <c r="B193" s="16" t="s">
        <v>72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</row>
    <row r="194" spans="1:15" x14ac:dyDescent="0.35">
      <c r="B194" s="16" t="s">
        <v>18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</row>
    <row r="195" spans="1:15" x14ac:dyDescent="0.35">
      <c r="B195" s="16" t="s">
        <v>13</v>
      </c>
      <c r="D195" s="16">
        <v>3</v>
      </c>
      <c r="E195" s="16">
        <v>4</v>
      </c>
      <c r="F195" s="16">
        <v>6</v>
      </c>
      <c r="G195" s="16">
        <v>1</v>
      </c>
      <c r="H195" s="16">
        <v>0</v>
      </c>
      <c r="I195" s="16">
        <v>7</v>
      </c>
      <c r="J195" s="16">
        <v>0</v>
      </c>
      <c r="K195" s="16">
        <v>1</v>
      </c>
      <c r="L195" s="16">
        <v>0</v>
      </c>
      <c r="M195" s="16">
        <v>0</v>
      </c>
    </row>
    <row r="196" spans="1:15" x14ac:dyDescent="0.35">
      <c r="B196" s="16" t="s">
        <v>74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</row>
    <row r="197" spans="1:15" x14ac:dyDescent="0.35">
      <c r="A197" s="16" t="s">
        <v>9</v>
      </c>
      <c r="B197" s="16" t="s">
        <v>11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</row>
    <row r="198" spans="1:15" x14ac:dyDescent="0.35">
      <c r="B198" s="16" t="s">
        <v>72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</row>
    <row r="199" spans="1:15" x14ac:dyDescent="0.35">
      <c r="B199" s="16" t="s">
        <v>18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</row>
    <row r="200" spans="1:15" x14ac:dyDescent="0.35">
      <c r="B200" s="16" t="s">
        <v>13</v>
      </c>
      <c r="D200" s="16">
        <v>1</v>
      </c>
      <c r="E200" s="16">
        <v>1</v>
      </c>
      <c r="F200" s="16">
        <v>2</v>
      </c>
      <c r="G200" s="16">
        <v>0</v>
      </c>
      <c r="H200" s="16">
        <v>0</v>
      </c>
      <c r="I200" s="16">
        <v>2</v>
      </c>
      <c r="J200" s="16">
        <v>0</v>
      </c>
      <c r="K200" s="16">
        <v>0</v>
      </c>
      <c r="L200" s="16">
        <v>0</v>
      </c>
      <c r="M200" s="16">
        <v>0</v>
      </c>
    </row>
    <row r="201" spans="1:15" x14ac:dyDescent="0.35">
      <c r="B201" s="16" t="s">
        <v>74</v>
      </c>
      <c r="D201" s="16">
        <v>1</v>
      </c>
      <c r="E201" s="16">
        <v>0</v>
      </c>
      <c r="F201" s="16">
        <v>1</v>
      </c>
      <c r="G201" s="16">
        <v>0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</row>
    <row r="203" spans="1:15" x14ac:dyDescent="0.35">
      <c r="A203" s="18" t="s">
        <v>84</v>
      </c>
      <c r="B203" s="20">
        <v>44643</v>
      </c>
      <c r="C203" s="16" t="s">
        <v>62</v>
      </c>
      <c r="D203" s="16" t="s">
        <v>3</v>
      </c>
      <c r="E203" s="16" t="s">
        <v>4</v>
      </c>
      <c r="F203" s="16" t="s">
        <v>10</v>
      </c>
      <c r="G203" s="16" t="s">
        <v>17</v>
      </c>
      <c r="H203" s="16" t="s">
        <v>19</v>
      </c>
      <c r="I203" s="16" t="s">
        <v>20</v>
      </c>
      <c r="J203" s="16" t="s">
        <v>21</v>
      </c>
      <c r="K203" s="16" t="s">
        <v>22</v>
      </c>
      <c r="L203" s="16" t="s">
        <v>23</v>
      </c>
      <c r="M203" s="16" t="s">
        <v>24</v>
      </c>
      <c r="N203" s="16" t="s">
        <v>15</v>
      </c>
    </row>
    <row r="204" spans="1:15" x14ac:dyDescent="0.35">
      <c r="A204" s="16" t="s">
        <v>5</v>
      </c>
      <c r="D204" s="16">
        <v>0</v>
      </c>
      <c r="E204" s="16">
        <v>0</v>
      </c>
      <c r="N204" s="16">
        <v>12</v>
      </c>
      <c r="O204" s="16" t="s">
        <v>43</v>
      </c>
    </row>
    <row r="205" spans="1:15" x14ac:dyDescent="0.35">
      <c r="A205" s="16" t="s">
        <v>6</v>
      </c>
      <c r="B205" s="16" t="s">
        <v>11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2</v>
      </c>
      <c r="O205" s="16" t="s">
        <v>44</v>
      </c>
    </row>
    <row r="206" spans="1:15" x14ac:dyDescent="0.35">
      <c r="B206" s="16" t="s">
        <v>72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3</v>
      </c>
      <c r="O206" s="16" t="s">
        <v>45</v>
      </c>
    </row>
    <row r="207" spans="1:15" x14ac:dyDescent="0.35">
      <c r="B207" s="16" t="s">
        <v>18</v>
      </c>
      <c r="D207" s="16">
        <v>0</v>
      </c>
      <c r="E207" s="16">
        <v>1</v>
      </c>
      <c r="F207" s="16">
        <v>1</v>
      </c>
      <c r="G207" s="16">
        <v>0</v>
      </c>
      <c r="H207" s="16">
        <v>0</v>
      </c>
      <c r="I207" s="16">
        <v>1</v>
      </c>
      <c r="J207" s="16">
        <v>0</v>
      </c>
      <c r="K207" s="16">
        <v>0</v>
      </c>
      <c r="L207" s="16">
        <v>0</v>
      </c>
      <c r="M207" s="16">
        <v>0</v>
      </c>
      <c r="N207" s="16">
        <v>2.4</v>
      </c>
      <c r="O207" s="16" t="s">
        <v>46</v>
      </c>
    </row>
    <row r="208" spans="1:15" x14ac:dyDescent="0.35">
      <c r="B208" s="16" t="s">
        <v>13</v>
      </c>
      <c r="D208" s="16">
        <v>1</v>
      </c>
      <c r="E208" s="16">
        <v>1</v>
      </c>
      <c r="F208" s="16">
        <v>2</v>
      </c>
      <c r="G208" s="16">
        <v>0</v>
      </c>
      <c r="H208" s="16">
        <v>0</v>
      </c>
      <c r="I208" s="16">
        <v>2</v>
      </c>
      <c r="J208" s="16">
        <v>0</v>
      </c>
      <c r="K208" s="16">
        <v>0</v>
      </c>
      <c r="L208" s="16">
        <v>0</v>
      </c>
      <c r="M208" s="16">
        <v>0</v>
      </c>
    </row>
    <row r="209" spans="1:13" x14ac:dyDescent="0.35">
      <c r="A209" s="16" t="s">
        <v>7</v>
      </c>
      <c r="B209" s="16" t="s">
        <v>11</v>
      </c>
      <c r="D209" s="16">
        <v>0</v>
      </c>
      <c r="E209" s="16">
        <v>1</v>
      </c>
      <c r="F209" s="16">
        <v>1</v>
      </c>
      <c r="G209" s="16">
        <v>0</v>
      </c>
      <c r="H209" s="16">
        <v>0</v>
      </c>
      <c r="I209" s="16">
        <v>0</v>
      </c>
      <c r="J209" s="16">
        <v>1</v>
      </c>
      <c r="K209" s="16">
        <v>0</v>
      </c>
      <c r="L209" s="16">
        <v>0</v>
      </c>
      <c r="M209" s="16">
        <v>0</v>
      </c>
    </row>
    <row r="210" spans="1:13" x14ac:dyDescent="0.35">
      <c r="B210" s="16" t="s">
        <v>72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</row>
    <row r="211" spans="1:13" x14ac:dyDescent="0.35">
      <c r="B211" s="16" t="s">
        <v>18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</row>
    <row r="212" spans="1:13" x14ac:dyDescent="0.35">
      <c r="B212" s="16" t="s">
        <v>13</v>
      </c>
      <c r="D212" s="16">
        <v>0</v>
      </c>
      <c r="E212" s="16">
        <v>1</v>
      </c>
      <c r="F212" s="16">
        <v>1</v>
      </c>
      <c r="G212" s="16">
        <v>0</v>
      </c>
      <c r="H212" s="16">
        <v>0</v>
      </c>
      <c r="I212" s="16">
        <v>1</v>
      </c>
      <c r="J212" s="16">
        <v>0</v>
      </c>
      <c r="K212" s="16">
        <v>0</v>
      </c>
      <c r="L212" s="16">
        <v>0</v>
      </c>
      <c r="M212" s="16">
        <v>0</v>
      </c>
    </row>
    <row r="213" spans="1:13" x14ac:dyDescent="0.35">
      <c r="A213" s="16" t="s">
        <v>8</v>
      </c>
      <c r="B213" s="16" t="s">
        <v>11</v>
      </c>
      <c r="D213" s="16">
        <v>0</v>
      </c>
      <c r="E213" s="16">
        <v>1</v>
      </c>
      <c r="F213" s="16">
        <v>1</v>
      </c>
      <c r="G213" s="16">
        <v>0</v>
      </c>
      <c r="H213" s="16">
        <v>0</v>
      </c>
      <c r="I213" s="16">
        <v>0</v>
      </c>
      <c r="J213" s="16">
        <v>1</v>
      </c>
      <c r="K213" s="16">
        <v>0</v>
      </c>
      <c r="L213" s="16">
        <v>0</v>
      </c>
      <c r="M213" s="16">
        <v>0</v>
      </c>
    </row>
    <row r="214" spans="1:13" x14ac:dyDescent="0.35">
      <c r="B214" s="16" t="s">
        <v>72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</row>
    <row r="215" spans="1:13" x14ac:dyDescent="0.35">
      <c r="B215" s="16" t="s">
        <v>18</v>
      </c>
      <c r="D215" s="16">
        <v>3</v>
      </c>
      <c r="E215" s="16">
        <v>3</v>
      </c>
      <c r="F215" s="16">
        <v>6</v>
      </c>
      <c r="G215" s="16">
        <v>0</v>
      </c>
      <c r="H215" s="16">
        <v>0</v>
      </c>
      <c r="I215" s="16">
        <v>6</v>
      </c>
      <c r="J215" s="16">
        <v>0</v>
      </c>
      <c r="K215" s="16">
        <v>0</v>
      </c>
      <c r="L215" s="16">
        <v>0</v>
      </c>
      <c r="M215" s="16">
        <v>0</v>
      </c>
    </row>
    <row r="216" spans="1:13" x14ac:dyDescent="0.35">
      <c r="B216" s="16" t="s">
        <v>13</v>
      </c>
      <c r="D216" s="16">
        <v>3</v>
      </c>
      <c r="E216" s="16">
        <v>3</v>
      </c>
      <c r="F216" s="16">
        <v>5</v>
      </c>
      <c r="G216" s="16">
        <v>1</v>
      </c>
      <c r="H216" s="16">
        <v>0</v>
      </c>
      <c r="I216" s="16">
        <v>6</v>
      </c>
      <c r="J216" s="16">
        <v>0</v>
      </c>
      <c r="K216" s="16">
        <v>1</v>
      </c>
      <c r="L216" s="16">
        <v>0</v>
      </c>
      <c r="M216" s="16">
        <v>0</v>
      </c>
    </row>
    <row r="217" spans="1:13" x14ac:dyDescent="0.35">
      <c r="B217" s="16" t="s">
        <v>74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</row>
    <row r="218" spans="1:13" x14ac:dyDescent="0.35">
      <c r="A218" s="16" t="s">
        <v>9</v>
      </c>
      <c r="B218" s="16" t="s">
        <v>11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</row>
    <row r="219" spans="1:13" x14ac:dyDescent="0.35">
      <c r="B219" s="16" t="s">
        <v>72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</row>
    <row r="220" spans="1:13" x14ac:dyDescent="0.35">
      <c r="B220" s="16" t="s">
        <v>18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</row>
    <row r="221" spans="1:13" x14ac:dyDescent="0.35">
      <c r="B221" s="16" t="s">
        <v>13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</row>
    <row r="222" spans="1:13" x14ac:dyDescent="0.35">
      <c r="B222" s="16" t="s">
        <v>74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</row>
  </sheetData>
  <mergeCells count="2">
    <mergeCell ref="AJ2:AN2"/>
    <mergeCell ref="S34:AA3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C5FAD-42D6-4000-AFB0-25A0D68FACA0}">
  <sheetPr>
    <tabColor theme="7"/>
  </sheetPr>
  <dimension ref="A1:AN222"/>
  <sheetViews>
    <sheetView zoomScale="70" zoomScaleNormal="70" workbookViewId="0">
      <selection activeCell="B8" sqref="B8"/>
    </sheetView>
  </sheetViews>
  <sheetFormatPr defaultRowHeight="14.5" x14ac:dyDescent="0.35"/>
  <cols>
    <col min="1" max="1" width="24.36328125" style="16" bestFit="1" customWidth="1"/>
    <col min="2" max="2" width="21.26953125" style="16" bestFit="1" customWidth="1"/>
    <col min="3" max="3" width="31.453125" style="16" bestFit="1" customWidth="1"/>
    <col min="4" max="4" width="10.36328125" style="16" bestFit="1" customWidth="1"/>
    <col min="5" max="5" width="7.6328125" style="16" bestFit="1" customWidth="1"/>
    <col min="6" max="6" width="8.26953125" style="16" bestFit="1" customWidth="1"/>
    <col min="7" max="7" width="19.90625" style="16" bestFit="1" customWidth="1"/>
    <col min="8" max="8" width="13.36328125" style="16" bestFit="1" customWidth="1"/>
    <col min="9" max="9" width="10.7265625" style="16" bestFit="1" customWidth="1"/>
    <col min="10" max="10" width="12.36328125" style="16" bestFit="1" customWidth="1"/>
    <col min="11" max="11" width="18.26953125" style="16" bestFit="1" customWidth="1"/>
    <col min="12" max="12" width="15.08984375" style="16" bestFit="1" customWidth="1"/>
    <col min="13" max="13" width="26.26953125" style="16" bestFit="1" customWidth="1"/>
    <col min="14" max="14" width="14" style="16" bestFit="1" customWidth="1"/>
    <col min="15" max="15" width="5.81640625" style="16" bestFit="1" customWidth="1"/>
    <col min="16" max="16" width="14" style="16" bestFit="1" customWidth="1"/>
    <col min="17" max="17" width="10.6328125" style="16" customWidth="1"/>
    <col min="18" max="18" width="15.54296875" style="16" bestFit="1" customWidth="1"/>
    <col min="19" max="19" width="17.81640625" style="16" bestFit="1" customWidth="1"/>
    <col min="20" max="20" width="13.08984375" style="16" bestFit="1" customWidth="1"/>
    <col min="21" max="21" width="12.81640625" style="16" bestFit="1" customWidth="1"/>
    <col min="22" max="22" width="7.90625" style="16" bestFit="1" customWidth="1"/>
    <col min="23" max="23" width="17.1796875" style="16" bestFit="1" customWidth="1"/>
    <col min="24" max="24" width="11.26953125" style="16" bestFit="1" customWidth="1"/>
    <col min="25" max="25" width="11.453125" style="16" bestFit="1" customWidth="1"/>
    <col min="26" max="26" width="17.1796875" style="16" bestFit="1" customWidth="1"/>
    <col min="27" max="27" width="9.26953125" style="16" bestFit="1" customWidth="1"/>
    <col min="28" max="28" width="19.6328125" style="16" bestFit="1" customWidth="1"/>
    <col min="29" max="29" width="19.453125" style="16" bestFit="1" customWidth="1"/>
    <col min="30" max="30" width="20.81640625" style="16" bestFit="1" customWidth="1"/>
    <col min="31" max="31" width="14.7265625" style="16" bestFit="1" customWidth="1"/>
    <col min="32" max="35" width="8.7265625" style="16"/>
    <col min="36" max="36" width="46.1796875" style="16" bestFit="1" customWidth="1"/>
    <col min="37" max="37" width="47.54296875" style="16" bestFit="1" customWidth="1"/>
    <col min="38" max="38" width="48.08984375" style="16" bestFit="1" customWidth="1"/>
    <col min="39" max="40" width="47.54296875" style="16" bestFit="1" customWidth="1"/>
    <col min="41" max="16384" width="8.7265625" style="16"/>
  </cols>
  <sheetData>
    <row r="1" spans="1:40" ht="62" customHeight="1" x14ac:dyDescent="0.35">
      <c r="A1" s="51" t="s">
        <v>133</v>
      </c>
      <c r="B1" s="13"/>
      <c r="C1" s="13"/>
      <c r="D1" s="35" t="s">
        <v>3</v>
      </c>
      <c r="E1" s="35" t="s">
        <v>4</v>
      </c>
      <c r="F1" s="35" t="s">
        <v>10</v>
      </c>
      <c r="G1" s="35" t="s">
        <v>17</v>
      </c>
      <c r="H1" s="35" t="s">
        <v>19</v>
      </c>
      <c r="I1" s="35" t="s">
        <v>20</v>
      </c>
      <c r="J1" s="35" t="s">
        <v>21</v>
      </c>
      <c r="K1" s="35" t="s">
        <v>22</v>
      </c>
      <c r="L1" s="35" t="s">
        <v>23</v>
      </c>
      <c r="M1" s="35" t="s">
        <v>24</v>
      </c>
      <c r="N1" s="53"/>
      <c r="O1" s="53"/>
      <c r="P1" s="53"/>
      <c r="Q1" s="53"/>
      <c r="AJ1" s="94" t="s">
        <v>122</v>
      </c>
      <c r="AK1" s="95"/>
      <c r="AL1" s="95"/>
      <c r="AM1" s="95"/>
      <c r="AN1" s="96"/>
    </row>
    <row r="2" spans="1:40" x14ac:dyDescent="0.35">
      <c r="A2" s="36"/>
      <c r="B2" s="36"/>
      <c r="C2" s="63" t="s">
        <v>68</v>
      </c>
      <c r="D2" s="37">
        <f>(SUM(D37:D54)/($N$54-$C$36))</f>
        <v>0.5</v>
      </c>
      <c r="E2" s="37">
        <f t="shared" ref="E2:M2" si="0">(SUM(E37:E54)/($N$54-$C$36))</f>
        <v>0.5</v>
      </c>
      <c r="F2" s="37">
        <f t="shared" si="0"/>
        <v>0.91379310344827591</v>
      </c>
      <c r="G2" s="37">
        <f t="shared" si="0"/>
        <v>8.6206896551724144E-2</v>
      </c>
      <c r="H2" s="37">
        <f t="shared" si="0"/>
        <v>2.5862068965517241E-2</v>
      </c>
      <c r="I2" s="37">
        <f t="shared" si="0"/>
        <v>0.77586206896551724</v>
      </c>
      <c r="J2" s="37">
        <f t="shared" si="0"/>
        <v>0.19827586206896552</v>
      </c>
      <c r="K2" s="37">
        <f t="shared" si="0"/>
        <v>0</v>
      </c>
      <c r="L2" s="37">
        <f t="shared" si="0"/>
        <v>0</v>
      </c>
      <c r="M2" s="37">
        <f t="shared" si="0"/>
        <v>0</v>
      </c>
      <c r="N2" s="53"/>
      <c r="O2" s="53"/>
      <c r="P2" s="53"/>
      <c r="Q2" s="53"/>
      <c r="AJ2" s="1" t="s">
        <v>112</v>
      </c>
      <c r="AK2" s="1" t="s">
        <v>76</v>
      </c>
      <c r="AL2" s="1" t="s">
        <v>77</v>
      </c>
      <c r="AM2" s="1" t="s">
        <v>113</v>
      </c>
      <c r="AN2" s="1" t="s">
        <v>114</v>
      </c>
    </row>
    <row r="3" spans="1:40" x14ac:dyDescent="0.35">
      <c r="A3" s="36"/>
      <c r="B3" s="36"/>
      <c r="C3" s="63" t="s">
        <v>67</v>
      </c>
      <c r="D3" s="38">
        <f>SUM(D37:D54)</f>
        <v>58</v>
      </c>
      <c r="E3" s="38">
        <f t="shared" ref="E3:M3" si="1">SUM(E37:E54)</f>
        <v>58</v>
      </c>
      <c r="F3" s="38">
        <f t="shared" si="1"/>
        <v>106</v>
      </c>
      <c r="G3" s="38">
        <f t="shared" si="1"/>
        <v>10</v>
      </c>
      <c r="H3" s="38">
        <f t="shared" si="1"/>
        <v>3</v>
      </c>
      <c r="I3" s="38">
        <f t="shared" si="1"/>
        <v>90</v>
      </c>
      <c r="J3" s="38">
        <f t="shared" si="1"/>
        <v>23</v>
      </c>
      <c r="K3" s="38">
        <f t="shared" si="1"/>
        <v>0</v>
      </c>
      <c r="L3" s="38">
        <f t="shared" si="1"/>
        <v>0</v>
      </c>
      <c r="M3" s="38">
        <f t="shared" si="1"/>
        <v>0</v>
      </c>
      <c r="N3" s="53"/>
      <c r="O3" s="53"/>
      <c r="P3" s="53"/>
      <c r="Q3" s="53"/>
    </row>
    <row r="4" spans="1:40" x14ac:dyDescent="0.35">
      <c r="A4" s="39" t="s">
        <v>68</v>
      </c>
      <c r="B4" s="40" t="s">
        <v>73</v>
      </c>
      <c r="C4" s="39">
        <f>C9/($N$54-$C$36)</f>
        <v>0.15517241379310345</v>
      </c>
      <c r="D4" s="39">
        <f>D9/(D9+E9)</f>
        <v>5.5555555555555552E-2</v>
      </c>
      <c r="E4" s="39">
        <f>E9/(D9+E9)</f>
        <v>0.94444444444444442</v>
      </c>
      <c r="F4" s="39">
        <f>F9/(F9+G9)</f>
        <v>0.94444444444444442</v>
      </c>
      <c r="G4" s="39">
        <f>G9/(F9+G9)</f>
        <v>5.5555555555555552E-2</v>
      </c>
      <c r="H4" s="39">
        <f>H9/(H9+I9+J9)</f>
        <v>0</v>
      </c>
      <c r="I4" s="41">
        <f>I9/(H9+I9+J9)</f>
        <v>0</v>
      </c>
      <c r="J4" s="39">
        <f>J9/(H9+I9+J9)</f>
        <v>1</v>
      </c>
      <c r="K4" s="39">
        <f>K9/C9</f>
        <v>0</v>
      </c>
      <c r="L4" s="39">
        <f>L9/C9</f>
        <v>0</v>
      </c>
      <c r="M4" s="41"/>
      <c r="N4" s="53"/>
      <c r="O4" s="53"/>
      <c r="P4" s="53"/>
      <c r="Q4" s="53"/>
    </row>
    <row r="5" spans="1:40" x14ac:dyDescent="0.35">
      <c r="A5" s="39"/>
      <c r="B5" s="40" t="s">
        <v>72</v>
      </c>
      <c r="C5" s="39">
        <f>C10/($N$54-$C$36)</f>
        <v>1.7241379310344827E-2</v>
      </c>
      <c r="D5" s="39">
        <f>D10/(D10+E10)</f>
        <v>1</v>
      </c>
      <c r="E5" s="39">
        <f>E10/(D10+E10)</f>
        <v>0</v>
      </c>
      <c r="F5" s="39">
        <f>F10/(F10+G10)</f>
        <v>1</v>
      </c>
      <c r="G5" s="39"/>
      <c r="H5" s="39"/>
      <c r="I5" s="41"/>
      <c r="J5" s="39"/>
      <c r="K5" s="39"/>
      <c r="L5" s="39"/>
      <c r="M5" s="41"/>
      <c r="N5" s="53"/>
      <c r="O5" s="53"/>
      <c r="P5" s="53"/>
      <c r="Q5" s="53"/>
    </row>
    <row r="6" spans="1:40" x14ac:dyDescent="0.35">
      <c r="A6" s="39"/>
      <c r="B6" s="40" t="s">
        <v>18</v>
      </c>
      <c r="C6" s="39">
        <f t="shared" ref="C6:C8" si="2">C11/($N$54-$C$36)</f>
        <v>0.19827586206896552</v>
      </c>
      <c r="D6" s="39">
        <f>D11/(D11+E11)</f>
        <v>0.69565217391304346</v>
      </c>
      <c r="E6" s="39">
        <f t="shared" ref="E6:E8" si="3">E11/(D11+E11)</f>
        <v>0.30434782608695654</v>
      </c>
      <c r="F6" s="39">
        <f t="shared" ref="F6:F8" si="4">F11/(F11+G11)</f>
        <v>1</v>
      </c>
      <c r="G6" s="39">
        <f t="shared" ref="G6:G8" si="5">G11/(F11+G11)</f>
        <v>0</v>
      </c>
      <c r="H6" s="39">
        <f t="shared" ref="H6:H8" si="6">H11/(H11+I11+J11)</f>
        <v>0</v>
      </c>
      <c r="I6" s="39">
        <f t="shared" ref="I6:I8" si="7">I11/(H11+I11+J11)</f>
        <v>1</v>
      </c>
      <c r="J6" s="39">
        <f t="shared" ref="J6:J8" si="8">J11/(H11+I11+J11)</f>
        <v>0</v>
      </c>
      <c r="K6" s="39">
        <f t="shared" ref="K6:K8" si="9">K11/C11</f>
        <v>0</v>
      </c>
      <c r="L6" s="39">
        <f t="shared" ref="L6:L8" si="10">L11/C11</f>
        <v>0</v>
      </c>
      <c r="M6" s="41"/>
      <c r="N6" s="53"/>
      <c r="O6" s="53"/>
      <c r="P6" s="53"/>
      <c r="Q6" s="53"/>
    </row>
    <row r="7" spans="1:40" x14ac:dyDescent="0.35">
      <c r="A7" s="40"/>
      <c r="B7" s="40" t="s">
        <v>75</v>
      </c>
      <c r="C7" s="39">
        <f t="shared" si="2"/>
        <v>0.62068965517241381</v>
      </c>
      <c r="D7" s="39">
        <f t="shared" ref="D7:D8" si="11">D12/(D12+E12)</f>
        <v>0.54166666666666663</v>
      </c>
      <c r="E7" s="39">
        <f t="shared" si="3"/>
        <v>0.45833333333333331</v>
      </c>
      <c r="F7" s="39">
        <f t="shared" si="4"/>
        <v>0.88888888888888884</v>
      </c>
      <c r="G7" s="39">
        <f t="shared" si="5"/>
        <v>0.1111111111111111</v>
      </c>
      <c r="H7" s="39">
        <f t="shared" si="6"/>
        <v>0</v>
      </c>
      <c r="I7" s="39">
        <f t="shared" si="7"/>
        <v>0.93055555555555558</v>
      </c>
      <c r="J7" s="39">
        <f t="shared" si="8"/>
        <v>6.9444444444444448E-2</v>
      </c>
      <c r="K7" s="39">
        <f t="shared" si="9"/>
        <v>0</v>
      </c>
      <c r="L7" s="39">
        <f t="shared" si="10"/>
        <v>0</v>
      </c>
      <c r="M7" s="41"/>
      <c r="N7" s="53"/>
      <c r="O7" s="53"/>
      <c r="P7" s="53"/>
      <c r="Q7" s="53"/>
    </row>
    <row r="8" spans="1:40" x14ac:dyDescent="0.35">
      <c r="A8" s="40"/>
      <c r="B8" s="40" t="s">
        <v>74</v>
      </c>
      <c r="C8" s="39">
        <f t="shared" si="2"/>
        <v>8.6206896551724137E-3</v>
      </c>
      <c r="D8" s="39">
        <f t="shared" si="11"/>
        <v>0</v>
      </c>
      <c r="E8" s="39">
        <f t="shared" si="3"/>
        <v>1</v>
      </c>
      <c r="F8" s="39">
        <f t="shared" si="4"/>
        <v>0</v>
      </c>
      <c r="G8" s="39">
        <f t="shared" si="5"/>
        <v>1</v>
      </c>
      <c r="H8" s="39">
        <f t="shared" si="6"/>
        <v>1</v>
      </c>
      <c r="I8" s="39">
        <f t="shared" si="7"/>
        <v>0</v>
      </c>
      <c r="J8" s="39">
        <f t="shared" si="8"/>
        <v>0</v>
      </c>
      <c r="K8" s="39">
        <f t="shared" si="9"/>
        <v>0</v>
      </c>
      <c r="L8" s="39">
        <f t="shared" si="10"/>
        <v>0</v>
      </c>
      <c r="M8" s="41"/>
      <c r="N8" s="53"/>
      <c r="O8" s="53"/>
      <c r="P8" s="53"/>
      <c r="Q8" s="53"/>
    </row>
    <row r="9" spans="1:40" x14ac:dyDescent="0.35">
      <c r="A9" s="42" t="s">
        <v>67</v>
      </c>
      <c r="B9" s="43" t="s">
        <v>11</v>
      </c>
      <c r="C9" s="44">
        <f>D9+E9</f>
        <v>18</v>
      </c>
      <c r="D9" s="45">
        <f>D16+D20+D24+D29</f>
        <v>1</v>
      </c>
      <c r="E9" s="45">
        <f t="shared" ref="E9:M9" si="12">E16+E20+E24+E29</f>
        <v>17</v>
      </c>
      <c r="F9" s="45">
        <f t="shared" si="12"/>
        <v>17</v>
      </c>
      <c r="G9" s="45">
        <f t="shared" si="12"/>
        <v>1</v>
      </c>
      <c r="H9" s="45">
        <f t="shared" si="12"/>
        <v>0</v>
      </c>
      <c r="I9" s="45">
        <f t="shared" si="12"/>
        <v>0</v>
      </c>
      <c r="J9" s="45">
        <f t="shared" si="12"/>
        <v>18</v>
      </c>
      <c r="K9" s="45">
        <f t="shared" si="12"/>
        <v>0</v>
      </c>
      <c r="L9" s="45">
        <f t="shared" si="12"/>
        <v>0</v>
      </c>
      <c r="M9" s="45">
        <f t="shared" si="12"/>
        <v>0</v>
      </c>
      <c r="N9" s="53"/>
      <c r="O9" s="53"/>
      <c r="P9" s="53"/>
      <c r="Q9" s="53"/>
    </row>
    <row r="10" spans="1:40" x14ac:dyDescent="0.35">
      <c r="A10" s="42"/>
      <c r="B10" s="43" t="s">
        <v>72</v>
      </c>
      <c r="C10" s="44">
        <f t="shared" ref="C10:C13" si="13">D10+E10</f>
        <v>2</v>
      </c>
      <c r="D10" s="45">
        <f t="shared" ref="D10:M12" si="14">D17+D21+D25+D30</f>
        <v>2</v>
      </c>
      <c r="E10" s="45">
        <f t="shared" si="14"/>
        <v>0</v>
      </c>
      <c r="F10" s="45">
        <f t="shared" si="14"/>
        <v>2</v>
      </c>
      <c r="G10" s="45">
        <f t="shared" si="14"/>
        <v>0</v>
      </c>
      <c r="H10" s="45">
        <f t="shared" si="14"/>
        <v>2</v>
      </c>
      <c r="I10" s="45">
        <f t="shared" si="14"/>
        <v>0</v>
      </c>
      <c r="J10" s="45">
        <f t="shared" si="14"/>
        <v>0</v>
      </c>
      <c r="K10" s="45">
        <f t="shared" si="14"/>
        <v>0</v>
      </c>
      <c r="L10" s="45">
        <f t="shared" si="14"/>
        <v>0</v>
      </c>
      <c r="M10" s="45">
        <f t="shared" si="14"/>
        <v>0</v>
      </c>
      <c r="N10" s="53"/>
      <c r="O10" s="53"/>
      <c r="P10" s="53"/>
      <c r="Q10" s="53"/>
    </row>
    <row r="11" spans="1:40" x14ac:dyDescent="0.35">
      <c r="A11" s="42"/>
      <c r="B11" s="43" t="s">
        <v>18</v>
      </c>
      <c r="C11" s="44">
        <f t="shared" si="13"/>
        <v>23</v>
      </c>
      <c r="D11" s="45">
        <f t="shared" si="14"/>
        <v>16</v>
      </c>
      <c r="E11" s="45">
        <f t="shared" si="14"/>
        <v>7</v>
      </c>
      <c r="F11" s="45">
        <f t="shared" si="14"/>
        <v>23</v>
      </c>
      <c r="G11" s="45">
        <f t="shared" si="14"/>
        <v>0</v>
      </c>
      <c r="H11" s="45">
        <f t="shared" si="14"/>
        <v>0</v>
      </c>
      <c r="I11" s="45">
        <f t="shared" si="14"/>
        <v>23</v>
      </c>
      <c r="J11" s="45">
        <f t="shared" si="14"/>
        <v>0</v>
      </c>
      <c r="K11" s="45">
        <f t="shared" si="14"/>
        <v>0</v>
      </c>
      <c r="L11" s="45">
        <f t="shared" si="14"/>
        <v>0</v>
      </c>
      <c r="M11" s="45">
        <f t="shared" si="14"/>
        <v>0</v>
      </c>
      <c r="N11" s="53"/>
      <c r="O11" s="53"/>
      <c r="P11" s="53"/>
      <c r="Q11" s="53"/>
    </row>
    <row r="12" spans="1:40" x14ac:dyDescent="0.35">
      <c r="A12" s="43"/>
      <c r="B12" s="43" t="s">
        <v>13</v>
      </c>
      <c r="C12" s="44">
        <f t="shared" si="13"/>
        <v>72</v>
      </c>
      <c r="D12" s="45">
        <f t="shared" si="14"/>
        <v>39</v>
      </c>
      <c r="E12" s="45">
        <f t="shared" si="14"/>
        <v>33</v>
      </c>
      <c r="F12" s="45">
        <f t="shared" si="14"/>
        <v>64</v>
      </c>
      <c r="G12" s="45">
        <f t="shared" si="14"/>
        <v>8</v>
      </c>
      <c r="H12" s="45">
        <f t="shared" si="14"/>
        <v>0</v>
      </c>
      <c r="I12" s="45">
        <f t="shared" si="14"/>
        <v>67</v>
      </c>
      <c r="J12" s="45">
        <f t="shared" si="14"/>
        <v>5</v>
      </c>
      <c r="K12" s="45">
        <f t="shared" si="14"/>
        <v>0</v>
      </c>
      <c r="L12" s="45">
        <f t="shared" si="14"/>
        <v>0</v>
      </c>
      <c r="M12" s="45">
        <f t="shared" si="14"/>
        <v>0</v>
      </c>
      <c r="N12" s="53"/>
      <c r="O12" s="53"/>
      <c r="P12" s="53"/>
      <c r="Q12" s="53"/>
    </row>
    <row r="13" spans="1:40" x14ac:dyDescent="0.35">
      <c r="A13" s="43"/>
      <c r="B13" s="43" t="s">
        <v>74</v>
      </c>
      <c r="C13" s="44">
        <f t="shared" si="13"/>
        <v>1</v>
      </c>
      <c r="D13" s="45">
        <f>D28+D33</f>
        <v>0</v>
      </c>
      <c r="E13" s="45">
        <f t="shared" ref="E13:M13" si="15">E28+E33</f>
        <v>1</v>
      </c>
      <c r="F13" s="45">
        <f t="shared" si="15"/>
        <v>0</v>
      </c>
      <c r="G13" s="45">
        <f t="shared" si="15"/>
        <v>1</v>
      </c>
      <c r="H13" s="45">
        <f t="shared" si="15"/>
        <v>1</v>
      </c>
      <c r="I13" s="45">
        <f t="shared" si="15"/>
        <v>0</v>
      </c>
      <c r="J13" s="45">
        <f t="shared" si="15"/>
        <v>0</v>
      </c>
      <c r="K13" s="45">
        <f t="shared" si="15"/>
        <v>0</v>
      </c>
      <c r="L13" s="45">
        <f t="shared" si="15"/>
        <v>0</v>
      </c>
      <c r="M13" s="45">
        <f t="shared" si="15"/>
        <v>0</v>
      </c>
      <c r="N13" s="53"/>
      <c r="O13" s="53"/>
      <c r="P13" s="53"/>
      <c r="Q13" s="53"/>
    </row>
    <row r="14" spans="1:40" x14ac:dyDescent="0.35">
      <c r="A14" s="13" t="s">
        <v>5</v>
      </c>
      <c r="B14" s="13"/>
      <c r="C14" s="50" t="s">
        <v>132</v>
      </c>
      <c r="D14" s="35" t="s">
        <v>3</v>
      </c>
      <c r="E14" s="35" t="s">
        <v>4</v>
      </c>
      <c r="F14" s="35" t="s">
        <v>10</v>
      </c>
      <c r="G14" s="35" t="s">
        <v>17</v>
      </c>
      <c r="H14" s="35" t="s">
        <v>19</v>
      </c>
      <c r="I14" s="35" t="s">
        <v>20</v>
      </c>
      <c r="J14" s="35" t="s">
        <v>21</v>
      </c>
      <c r="K14" s="35" t="s">
        <v>22</v>
      </c>
      <c r="L14" s="35" t="s">
        <v>23</v>
      </c>
      <c r="M14" s="35" t="s">
        <v>24</v>
      </c>
      <c r="N14" s="53"/>
      <c r="O14" s="53"/>
      <c r="P14" s="53"/>
      <c r="Q14" s="53"/>
    </row>
    <row r="15" spans="1:40" x14ac:dyDescent="0.35">
      <c r="A15" s="14">
        <f>C36/$N$54</f>
        <v>1.6949152542372881E-2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53"/>
      <c r="O15" s="53"/>
      <c r="P15" s="53"/>
      <c r="Q15" s="53"/>
    </row>
    <row r="16" spans="1:40" x14ac:dyDescent="0.35">
      <c r="A16" s="43" t="s">
        <v>6</v>
      </c>
      <c r="B16" s="43" t="s">
        <v>11</v>
      </c>
      <c r="C16" s="43" t="s">
        <v>131</v>
      </c>
      <c r="D16" s="43">
        <f>D37</f>
        <v>1</v>
      </c>
      <c r="E16" s="43">
        <f t="shared" ref="E16:M16" si="16">E37</f>
        <v>4</v>
      </c>
      <c r="F16" s="43">
        <f t="shared" si="16"/>
        <v>5</v>
      </c>
      <c r="G16" s="43">
        <f t="shared" si="16"/>
        <v>0</v>
      </c>
      <c r="H16" s="43">
        <f t="shared" si="16"/>
        <v>0</v>
      </c>
      <c r="I16" s="43">
        <f t="shared" si="16"/>
        <v>0</v>
      </c>
      <c r="J16" s="43">
        <f t="shared" si="16"/>
        <v>5</v>
      </c>
      <c r="K16" s="43">
        <f t="shared" si="16"/>
        <v>0</v>
      </c>
      <c r="L16" s="43">
        <f t="shared" si="16"/>
        <v>0</v>
      </c>
      <c r="M16" s="43">
        <f t="shared" si="16"/>
        <v>0</v>
      </c>
      <c r="N16" s="53"/>
      <c r="O16" s="53"/>
      <c r="P16" s="53"/>
      <c r="Q16" s="53"/>
    </row>
    <row r="17" spans="1:17" x14ac:dyDescent="0.35">
      <c r="A17" s="42">
        <f>(D37+E37+D38+E38+D39+E39+D40+E40)/N54</f>
        <v>8.4745762711864403E-2</v>
      </c>
      <c r="B17" s="43" t="s">
        <v>72</v>
      </c>
      <c r="C17" s="43" t="s">
        <v>131</v>
      </c>
      <c r="D17" s="43">
        <f t="shared" ref="D17:M32" si="17">D38</f>
        <v>0</v>
      </c>
      <c r="E17" s="43">
        <f t="shared" si="17"/>
        <v>0</v>
      </c>
      <c r="F17" s="43">
        <f t="shared" si="17"/>
        <v>0</v>
      </c>
      <c r="G17" s="43">
        <f t="shared" si="17"/>
        <v>0</v>
      </c>
      <c r="H17" s="43">
        <f t="shared" si="17"/>
        <v>0</v>
      </c>
      <c r="I17" s="43">
        <f t="shared" si="17"/>
        <v>0</v>
      </c>
      <c r="J17" s="43">
        <f t="shared" si="17"/>
        <v>0</v>
      </c>
      <c r="K17" s="43">
        <f t="shared" si="17"/>
        <v>0</v>
      </c>
      <c r="L17" s="43">
        <f t="shared" si="17"/>
        <v>0</v>
      </c>
      <c r="M17" s="43">
        <f t="shared" si="17"/>
        <v>0</v>
      </c>
      <c r="N17" s="53"/>
      <c r="O17" s="53"/>
      <c r="P17" s="53"/>
      <c r="Q17" s="53"/>
    </row>
    <row r="18" spans="1:17" x14ac:dyDescent="0.35">
      <c r="A18" s="43"/>
      <c r="B18" s="43" t="s">
        <v>18</v>
      </c>
      <c r="C18" s="43" t="s">
        <v>131</v>
      </c>
      <c r="D18" s="43">
        <f t="shared" si="17"/>
        <v>0</v>
      </c>
      <c r="E18" s="43">
        <f t="shared" si="17"/>
        <v>0</v>
      </c>
      <c r="F18" s="43">
        <f t="shared" si="17"/>
        <v>0</v>
      </c>
      <c r="G18" s="43">
        <f t="shared" si="17"/>
        <v>0</v>
      </c>
      <c r="H18" s="43">
        <f t="shared" si="17"/>
        <v>0</v>
      </c>
      <c r="I18" s="43">
        <f t="shared" si="17"/>
        <v>0</v>
      </c>
      <c r="J18" s="43">
        <f t="shared" si="17"/>
        <v>0</v>
      </c>
      <c r="K18" s="43">
        <f t="shared" si="17"/>
        <v>0</v>
      </c>
      <c r="L18" s="43">
        <f t="shared" si="17"/>
        <v>0</v>
      </c>
      <c r="M18" s="43">
        <f t="shared" si="17"/>
        <v>0</v>
      </c>
      <c r="N18" s="53"/>
      <c r="O18" s="53"/>
      <c r="P18" s="53"/>
      <c r="Q18" s="53"/>
    </row>
    <row r="19" spans="1:17" x14ac:dyDescent="0.35">
      <c r="A19" s="43"/>
      <c r="B19" s="43" t="s">
        <v>13</v>
      </c>
      <c r="C19" s="43" t="s">
        <v>131</v>
      </c>
      <c r="D19" s="43">
        <f t="shared" si="17"/>
        <v>4</v>
      </c>
      <c r="E19" s="43">
        <f t="shared" si="17"/>
        <v>1</v>
      </c>
      <c r="F19" s="43">
        <f t="shared" si="17"/>
        <v>2</v>
      </c>
      <c r="G19" s="43">
        <f t="shared" si="17"/>
        <v>3</v>
      </c>
      <c r="H19" s="43">
        <f t="shared" si="17"/>
        <v>0</v>
      </c>
      <c r="I19" s="43">
        <f t="shared" si="17"/>
        <v>5</v>
      </c>
      <c r="J19" s="43">
        <f t="shared" si="17"/>
        <v>0</v>
      </c>
      <c r="K19" s="43">
        <f t="shared" si="17"/>
        <v>0</v>
      </c>
      <c r="L19" s="43">
        <f t="shared" si="17"/>
        <v>0</v>
      </c>
      <c r="M19" s="43">
        <f t="shared" si="17"/>
        <v>0</v>
      </c>
      <c r="N19" s="53"/>
      <c r="O19" s="53"/>
      <c r="P19" s="53"/>
      <c r="Q19" s="53"/>
    </row>
    <row r="20" spans="1:17" x14ac:dyDescent="0.35">
      <c r="A20" s="46" t="s">
        <v>7</v>
      </c>
      <c r="B20" s="46" t="s">
        <v>11</v>
      </c>
      <c r="C20" s="46" t="s">
        <v>131</v>
      </c>
      <c r="D20" s="46">
        <f t="shared" si="17"/>
        <v>0</v>
      </c>
      <c r="E20" s="46">
        <f t="shared" si="17"/>
        <v>1</v>
      </c>
      <c r="F20" s="46">
        <f t="shared" si="17"/>
        <v>1</v>
      </c>
      <c r="G20" s="46">
        <f t="shared" si="17"/>
        <v>0</v>
      </c>
      <c r="H20" s="46">
        <f t="shared" si="17"/>
        <v>0</v>
      </c>
      <c r="I20" s="46">
        <f t="shared" si="17"/>
        <v>0</v>
      </c>
      <c r="J20" s="46">
        <f t="shared" si="17"/>
        <v>1</v>
      </c>
      <c r="K20" s="46">
        <f t="shared" si="17"/>
        <v>0</v>
      </c>
      <c r="L20" s="46">
        <f t="shared" si="17"/>
        <v>0</v>
      </c>
      <c r="M20" s="46">
        <f t="shared" si="17"/>
        <v>0</v>
      </c>
      <c r="N20" s="53"/>
      <c r="O20" s="53"/>
      <c r="P20" s="53"/>
      <c r="Q20" s="53"/>
    </row>
    <row r="21" spans="1:17" x14ac:dyDescent="0.35">
      <c r="A21" s="47">
        <f>(D41+E41+D42+E42+D43+E43+D44+E44)/N54</f>
        <v>8.4745762711864403E-2</v>
      </c>
      <c r="B21" s="46" t="s">
        <v>72</v>
      </c>
      <c r="C21" s="46" t="s">
        <v>131</v>
      </c>
      <c r="D21" s="46">
        <f t="shared" si="17"/>
        <v>0</v>
      </c>
      <c r="E21" s="46">
        <f t="shared" si="17"/>
        <v>0</v>
      </c>
      <c r="F21" s="46">
        <f t="shared" si="17"/>
        <v>0</v>
      </c>
      <c r="G21" s="46">
        <f t="shared" si="17"/>
        <v>0</v>
      </c>
      <c r="H21" s="46">
        <f t="shared" si="17"/>
        <v>0</v>
      </c>
      <c r="I21" s="46">
        <f t="shared" si="17"/>
        <v>0</v>
      </c>
      <c r="J21" s="46">
        <f t="shared" si="17"/>
        <v>0</v>
      </c>
      <c r="K21" s="46">
        <f t="shared" si="17"/>
        <v>0</v>
      </c>
      <c r="L21" s="46">
        <f t="shared" si="17"/>
        <v>0</v>
      </c>
      <c r="M21" s="46">
        <f t="shared" si="17"/>
        <v>0</v>
      </c>
      <c r="N21" s="53"/>
      <c r="O21" s="53"/>
      <c r="P21" s="53"/>
      <c r="Q21" s="53"/>
    </row>
    <row r="22" spans="1:17" x14ac:dyDescent="0.35">
      <c r="A22" s="46"/>
      <c r="B22" s="46" t="s">
        <v>18</v>
      </c>
      <c r="C22" s="46" t="s">
        <v>131</v>
      </c>
      <c r="D22" s="46">
        <f t="shared" si="17"/>
        <v>2</v>
      </c>
      <c r="E22" s="46">
        <f t="shared" si="17"/>
        <v>0</v>
      </c>
      <c r="F22" s="46">
        <f t="shared" si="17"/>
        <v>2</v>
      </c>
      <c r="G22" s="46">
        <f t="shared" si="17"/>
        <v>0</v>
      </c>
      <c r="H22" s="46">
        <f t="shared" si="17"/>
        <v>0</v>
      </c>
      <c r="I22" s="46">
        <f t="shared" si="17"/>
        <v>2</v>
      </c>
      <c r="J22" s="46">
        <f t="shared" si="17"/>
        <v>0</v>
      </c>
      <c r="K22" s="46">
        <f t="shared" si="17"/>
        <v>0</v>
      </c>
      <c r="L22" s="46">
        <f t="shared" si="17"/>
        <v>0</v>
      </c>
      <c r="M22" s="46">
        <f t="shared" si="17"/>
        <v>0</v>
      </c>
      <c r="N22" s="53"/>
      <c r="O22" s="53"/>
      <c r="P22" s="53"/>
      <c r="Q22" s="53"/>
    </row>
    <row r="23" spans="1:17" x14ac:dyDescent="0.35">
      <c r="A23" s="46"/>
      <c r="B23" s="46" t="s">
        <v>13</v>
      </c>
      <c r="C23" s="46" t="s">
        <v>131</v>
      </c>
      <c r="D23" s="46">
        <f t="shared" si="17"/>
        <v>4</v>
      </c>
      <c r="E23" s="46">
        <f t="shared" si="17"/>
        <v>3</v>
      </c>
      <c r="F23" s="46">
        <f t="shared" si="17"/>
        <v>7</v>
      </c>
      <c r="G23" s="46">
        <f t="shared" si="17"/>
        <v>0</v>
      </c>
      <c r="H23" s="46">
        <f t="shared" si="17"/>
        <v>0</v>
      </c>
      <c r="I23" s="46">
        <f t="shared" si="17"/>
        <v>7</v>
      </c>
      <c r="J23" s="46">
        <f t="shared" si="17"/>
        <v>0</v>
      </c>
      <c r="K23" s="46">
        <f t="shared" si="17"/>
        <v>0</v>
      </c>
      <c r="L23" s="46">
        <f t="shared" si="17"/>
        <v>0</v>
      </c>
      <c r="M23" s="46">
        <f t="shared" si="17"/>
        <v>0</v>
      </c>
      <c r="N23" s="53"/>
      <c r="O23" s="53"/>
      <c r="P23" s="53"/>
      <c r="Q23" s="53"/>
    </row>
    <row r="24" spans="1:17" x14ac:dyDescent="0.35">
      <c r="A24" s="36" t="s">
        <v>8</v>
      </c>
      <c r="B24" s="36" t="s">
        <v>11</v>
      </c>
      <c r="C24" s="36" t="s">
        <v>131</v>
      </c>
      <c r="D24" s="36">
        <f t="shared" si="17"/>
        <v>0</v>
      </c>
      <c r="E24" s="36">
        <f t="shared" si="17"/>
        <v>12</v>
      </c>
      <c r="F24" s="36">
        <f t="shared" si="17"/>
        <v>11</v>
      </c>
      <c r="G24" s="36">
        <f t="shared" si="17"/>
        <v>1</v>
      </c>
      <c r="H24" s="36">
        <f t="shared" si="17"/>
        <v>0</v>
      </c>
      <c r="I24" s="36">
        <f t="shared" si="17"/>
        <v>0</v>
      </c>
      <c r="J24" s="36">
        <f t="shared" si="17"/>
        <v>12</v>
      </c>
      <c r="K24" s="36">
        <f t="shared" si="17"/>
        <v>0</v>
      </c>
      <c r="L24" s="36">
        <f t="shared" si="17"/>
        <v>0</v>
      </c>
      <c r="M24" s="36">
        <f t="shared" si="17"/>
        <v>0</v>
      </c>
      <c r="N24" s="53"/>
      <c r="O24" s="53"/>
      <c r="P24" s="53"/>
      <c r="Q24" s="53"/>
    </row>
    <row r="25" spans="1:17" x14ac:dyDescent="0.35">
      <c r="A25" s="37">
        <f>(D45+E45+D46+E46+D47+E47+D48+E48+D49+E49)/$N$54</f>
        <v>0.6271186440677966</v>
      </c>
      <c r="B25" s="36" t="s">
        <v>72</v>
      </c>
      <c r="C25" s="36" t="s">
        <v>131</v>
      </c>
      <c r="D25" s="36">
        <f t="shared" si="17"/>
        <v>2</v>
      </c>
      <c r="E25" s="36">
        <f t="shared" si="17"/>
        <v>0</v>
      </c>
      <c r="F25" s="36">
        <f t="shared" si="17"/>
        <v>2</v>
      </c>
      <c r="G25" s="36">
        <f t="shared" si="17"/>
        <v>0</v>
      </c>
      <c r="H25" s="36">
        <f t="shared" si="17"/>
        <v>2</v>
      </c>
      <c r="I25" s="36">
        <f t="shared" si="17"/>
        <v>0</v>
      </c>
      <c r="J25" s="36">
        <f t="shared" si="17"/>
        <v>0</v>
      </c>
      <c r="K25" s="36">
        <f t="shared" si="17"/>
        <v>0</v>
      </c>
      <c r="L25" s="36">
        <f t="shared" si="17"/>
        <v>0</v>
      </c>
      <c r="M25" s="36">
        <f t="shared" si="17"/>
        <v>0</v>
      </c>
      <c r="N25" s="53"/>
      <c r="O25" s="53"/>
      <c r="P25" s="53"/>
      <c r="Q25" s="53"/>
    </row>
    <row r="26" spans="1:17" x14ac:dyDescent="0.35">
      <c r="A26" s="36"/>
      <c r="B26" s="36" t="s">
        <v>18</v>
      </c>
      <c r="C26" s="36" t="s">
        <v>131</v>
      </c>
      <c r="D26" s="36">
        <f t="shared" si="17"/>
        <v>11</v>
      </c>
      <c r="E26" s="36">
        <f t="shared" si="17"/>
        <v>6</v>
      </c>
      <c r="F26" s="36">
        <f t="shared" si="17"/>
        <v>17</v>
      </c>
      <c r="G26" s="36">
        <f t="shared" si="17"/>
        <v>0</v>
      </c>
      <c r="H26" s="36">
        <f t="shared" si="17"/>
        <v>0</v>
      </c>
      <c r="I26" s="36">
        <f t="shared" si="17"/>
        <v>17</v>
      </c>
      <c r="J26" s="36">
        <f t="shared" si="17"/>
        <v>0</v>
      </c>
      <c r="K26" s="36">
        <f t="shared" si="17"/>
        <v>0</v>
      </c>
      <c r="L26" s="36">
        <f t="shared" si="17"/>
        <v>0</v>
      </c>
      <c r="M26" s="36">
        <f t="shared" si="17"/>
        <v>0</v>
      </c>
      <c r="N26" s="53"/>
      <c r="O26" s="53"/>
      <c r="P26" s="53"/>
      <c r="Q26" s="53"/>
    </row>
    <row r="27" spans="1:17" x14ac:dyDescent="0.35">
      <c r="A27" s="36"/>
      <c r="B27" s="36" t="s">
        <v>13</v>
      </c>
      <c r="C27" s="36" t="s">
        <v>131</v>
      </c>
      <c r="D27" s="36">
        <f t="shared" si="17"/>
        <v>23</v>
      </c>
      <c r="E27" s="36">
        <f t="shared" si="17"/>
        <v>19</v>
      </c>
      <c r="F27" s="36">
        <f t="shared" si="17"/>
        <v>37</v>
      </c>
      <c r="G27" s="36">
        <f t="shared" si="17"/>
        <v>5</v>
      </c>
      <c r="H27" s="36">
        <f t="shared" si="17"/>
        <v>0</v>
      </c>
      <c r="I27" s="36">
        <f t="shared" si="17"/>
        <v>38</v>
      </c>
      <c r="J27" s="36">
        <f t="shared" si="17"/>
        <v>4</v>
      </c>
      <c r="K27" s="36">
        <f t="shared" si="17"/>
        <v>0</v>
      </c>
      <c r="L27" s="36">
        <f t="shared" si="17"/>
        <v>0</v>
      </c>
      <c r="M27" s="36">
        <f t="shared" si="17"/>
        <v>0</v>
      </c>
      <c r="N27" s="53"/>
      <c r="O27" s="53"/>
      <c r="P27" s="53"/>
      <c r="Q27" s="53"/>
    </row>
    <row r="28" spans="1:17" x14ac:dyDescent="0.35">
      <c r="A28" s="36"/>
      <c r="B28" s="36" t="s">
        <v>74</v>
      </c>
      <c r="C28" s="36" t="s">
        <v>131</v>
      </c>
      <c r="D28" s="36">
        <f t="shared" si="17"/>
        <v>0</v>
      </c>
      <c r="E28" s="36">
        <f t="shared" si="17"/>
        <v>1</v>
      </c>
      <c r="F28" s="36">
        <f t="shared" si="17"/>
        <v>0</v>
      </c>
      <c r="G28" s="36">
        <f t="shared" si="17"/>
        <v>1</v>
      </c>
      <c r="H28" s="36">
        <f t="shared" si="17"/>
        <v>1</v>
      </c>
      <c r="I28" s="36">
        <f t="shared" si="17"/>
        <v>0</v>
      </c>
      <c r="J28" s="36">
        <f t="shared" si="17"/>
        <v>0</v>
      </c>
      <c r="K28" s="36">
        <f t="shared" si="17"/>
        <v>0</v>
      </c>
      <c r="L28" s="36">
        <f t="shared" si="17"/>
        <v>0</v>
      </c>
      <c r="M28" s="36">
        <f t="shared" si="17"/>
        <v>0</v>
      </c>
      <c r="N28" s="53"/>
      <c r="O28" s="53"/>
      <c r="P28" s="53"/>
      <c r="Q28" s="53"/>
    </row>
    <row r="29" spans="1:17" x14ac:dyDescent="0.35">
      <c r="A29" s="48" t="s">
        <v>9</v>
      </c>
      <c r="B29" s="48" t="s">
        <v>11</v>
      </c>
      <c r="C29" s="48" t="s">
        <v>131</v>
      </c>
      <c r="D29" s="48">
        <f t="shared" si="17"/>
        <v>0</v>
      </c>
      <c r="E29" s="48">
        <f t="shared" si="17"/>
        <v>0</v>
      </c>
      <c r="F29" s="48">
        <f t="shared" si="17"/>
        <v>0</v>
      </c>
      <c r="G29" s="48">
        <f t="shared" si="17"/>
        <v>0</v>
      </c>
      <c r="H29" s="48">
        <f t="shared" si="17"/>
        <v>0</v>
      </c>
      <c r="I29" s="48">
        <f t="shared" si="17"/>
        <v>0</v>
      </c>
      <c r="J29" s="48">
        <f t="shared" si="17"/>
        <v>0</v>
      </c>
      <c r="K29" s="48">
        <f t="shared" si="17"/>
        <v>0</v>
      </c>
      <c r="L29" s="48">
        <f t="shared" si="17"/>
        <v>0</v>
      </c>
      <c r="M29" s="48">
        <f t="shared" si="17"/>
        <v>0</v>
      </c>
      <c r="N29" s="53"/>
      <c r="O29" s="53"/>
      <c r="P29" s="53"/>
      <c r="Q29" s="53"/>
    </row>
    <row r="30" spans="1:17" x14ac:dyDescent="0.35">
      <c r="A30" s="49">
        <f>(D50+E50+D51+E51+D52+E52+D52+E52+D53+E53+D54+E54)/$N$54</f>
        <v>0.22033898305084745</v>
      </c>
      <c r="B30" s="48" t="s">
        <v>72</v>
      </c>
      <c r="C30" s="48" t="s">
        <v>131</v>
      </c>
      <c r="D30" s="48">
        <f t="shared" si="17"/>
        <v>0</v>
      </c>
      <c r="E30" s="48">
        <f t="shared" si="17"/>
        <v>0</v>
      </c>
      <c r="F30" s="48">
        <f t="shared" si="17"/>
        <v>0</v>
      </c>
      <c r="G30" s="48">
        <f t="shared" si="17"/>
        <v>0</v>
      </c>
      <c r="H30" s="48">
        <f t="shared" si="17"/>
        <v>0</v>
      </c>
      <c r="I30" s="48">
        <f t="shared" si="17"/>
        <v>0</v>
      </c>
      <c r="J30" s="48">
        <f t="shared" si="17"/>
        <v>0</v>
      </c>
      <c r="K30" s="48">
        <f t="shared" si="17"/>
        <v>0</v>
      </c>
      <c r="L30" s="48">
        <f t="shared" si="17"/>
        <v>0</v>
      </c>
      <c r="M30" s="48">
        <f t="shared" si="17"/>
        <v>0</v>
      </c>
      <c r="N30" s="53"/>
      <c r="O30" s="53"/>
      <c r="P30" s="53"/>
      <c r="Q30" s="53"/>
    </row>
    <row r="31" spans="1:17" x14ac:dyDescent="0.35">
      <c r="A31" s="48"/>
      <c r="B31" s="48" t="s">
        <v>18</v>
      </c>
      <c r="C31" s="48" t="s">
        <v>131</v>
      </c>
      <c r="D31" s="48">
        <f t="shared" si="17"/>
        <v>3</v>
      </c>
      <c r="E31" s="48">
        <f t="shared" si="17"/>
        <v>1</v>
      </c>
      <c r="F31" s="48">
        <f t="shared" si="17"/>
        <v>4</v>
      </c>
      <c r="G31" s="48">
        <f t="shared" si="17"/>
        <v>0</v>
      </c>
      <c r="H31" s="48">
        <f t="shared" si="17"/>
        <v>0</v>
      </c>
      <c r="I31" s="48">
        <f t="shared" si="17"/>
        <v>4</v>
      </c>
      <c r="J31" s="48">
        <f t="shared" si="17"/>
        <v>0</v>
      </c>
      <c r="K31" s="48">
        <f t="shared" si="17"/>
        <v>0</v>
      </c>
      <c r="L31" s="48">
        <f t="shared" si="17"/>
        <v>0</v>
      </c>
      <c r="M31" s="48">
        <f t="shared" si="17"/>
        <v>0</v>
      </c>
      <c r="N31" s="53"/>
      <c r="O31" s="53"/>
      <c r="P31" s="53"/>
      <c r="Q31" s="53"/>
    </row>
    <row r="32" spans="1:17" x14ac:dyDescent="0.35">
      <c r="A32" s="48"/>
      <c r="B32" s="48" t="s">
        <v>13</v>
      </c>
      <c r="C32" s="48" t="s">
        <v>131</v>
      </c>
      <c r="D32" s="48">
        <f t="shared" si="17"/>
        <v>8</v>
      </c>
      <c r="E32" s="48">
        <f t="shared" si="17"/>
        <v>10</v>
      </c>
      <c r="F32" s="48">
        <f t="shared" si="17"/>
        <v>18</v>
      </c>
      <c r="G32" s="48">
        <f t="shared" si="17"/>
        <v>0</v>
      </c>
      <c r="H32" s="48">
        <f t="shared" si="17"/>
        <v>0</v>
      </c>
      <c r="I32" s="48">
        <f t="shared" si="17"/>
        <v>17</v>
      </c>
      <c r="J32" s="48">
        <f t="shared" si="17"/>
        <v>1</v>
      </c>
      <c r="K32" s="48">
        <f t="shared" si="17"/>
        <v>0</v>
      </c>
      <c r="L32" s="48">
        <f t="shared" si="17"/>
        <v>0</v>
      </c>
      <c r="M32" s="48">
        <f t="shared" si="17"/>
        <v>0</v>
      </c>
      <c r="N32" s="53"/>
      <c r="O32" s="53"/>
      <c r="P32" s="53"/>
      <c r="Q32" s="53"/>
    </row>
    <row r="33" spans="1:31" ht="15" thickBot="1" x14ac:dyDescent="0.4">
      <c r="A33" s="48"/>
      <c r="B33" s="48" t="s">
        <v>74</v>
      </c>
      <c r="C33" s="48" t="s">
        <v>131</v>
      </c>
      <c r="D33" s="48">
        <f t="shared" ref="D33:M33" si="18">D54</f>
        <v>0</v>
      </c>
      <c r="E33" s="48">
        <f t="shared" si="18"/>
        <v>0</v>
      </c>
      <c r="F33" s="48">
        <f t="shared" si="18"/>
        <v>0</v>
      </c>
      <c r="G33" s="48">
        <f t="shared" si="18"/>
        <v>0</v>
      </c>
      <c r="H33" s="48">
        <f t="shared" si="18"/>
        <v>0</v>
      </c>
      <c r="I33" s="48">
        <f t="shared" si="18"/>
        <v>0</v>
      </c>
      <c r="J33" s="48">
        <f t="shared" si="18"/>
        <v>0</v>
      </c>
      <c r="K33" s="48">
        <f t="shared" si="18"/>
        <v>0</v>
      </c>
      <c r="L33" s="48">
        <f t="shared" si="18"/>
        <v>0</v>
      </c>
      <c r="M33" s="48">
        <f t="shared" si="18"/>
        <v>0</v>
      </c>
      <c r="N33" s="53"/>
      <c r="O33" s="53"/>
      <c r="P33" s="53"/>
      <c r="Q33" s="53"/>
    </row>
    <row r="34" spans="1:31" x14ac:dyDescent="0.35">
      <c r="S34" s="94" t="s">
        <v>121</v>
      </c>
      <c r="T34" s="95"/>
      <c r="U34" s="95"/>
      <c r="V34" s="95"/>
      <c r="W34" s="95"/>
      <c r="X34" s="95"/>
      <c r="Y34" s="95"/>
      <c r="Z34" s="95"/>
      <c r="AA34" s="96"/>
      <c r="AB34" s="94" t="s">
        <v>58</v>
      </c>
      <c r="AC34" s="95"/>
      <c r="AD34" s="95"/>
      <c r="AE34" s="96"/>
    </row>
    <row r="35" spans="1:31" ht="69.5" customHeight="1" x14ac:dyDescent="0.35">
      <c r="A35" s="58" t="s">
        <v>135</v>
      </c>
      <c r="B35" s="1"/>
      <c r="C35" s="1"/>
      <c r="D35" s="1" t="s">
        <v>3</v>
      </c>
      <c r="E35" s="1" t="s">
        <v>4</v>
      </c>
      <c r="F35" s="1" t="s">
        <v>10</v>
      </c>
      <c r="G35" s="1" t="s">
        <v>17</v>
      </c>
      <c r="H35" s="1" t="s">
        <v>19</v>
      </c>
      <c r="I35" s="1" t="s">
        <v>20</v>
      </c>
      <c r="J35" s="1" t="s">
        <v>21</v>
      </c>
      <c r="K35" s="1" t="s">
        <v>22</v>
      </c>
      <c r="L35" s="1" t="s">
        <v>23</v>
      </c>
      <c r="M35" s="1" t="s">
        <v>24</v>
      </c>
      <c r="N35" s="65" t="s">
        <v>134</v>
      </c>
      <c r="O35" s="66"/>
      <c r="P35" s="55" t="s">
        <v>129</v>
      </c>
      <c r="Q35" s="55" t="s">
        <v>130</v>
      </c>
      <c r="S35" s="1" t="s">
        <v>49</v>
      </c>
      <c r="T35" s="1" t="s">
        <v>51</v>
      </c>
      <c r="U35" s="1" t="s">
        <v>52</v>
      </c>
      <c r="V35" s="1" t="s">
        <v>53</v>
      </c>
      <c r="W35" s="1" t="s">
        <v>54</v>
      </c>
      <c r="X35" s="1" t="s">
        <v>55</v>
      </c>
      <c r="Y35" s="1" t="s">
        <v>56</v>
      </c>
      <c r="Z35" s="1" t="s">
        <v>57</v>
      </c>
      <c r="AA35" s="31" t="s">
        <v>58</v>
      </c>
      <c r="AB35" s="1" t="s">
        <v>128</v>
      </c>
      <c r="AC35" s="1" t="s">
        <v>123</v>
      </c>
      <c r="AD35" s="1" t="s">
        <v>124</v>
      </c>
      <c r="AE35" s="1" t="s">
        <v>125</v>
      </c>
    </row>
    <row r="36" spans="1:31" x14ac:dyDescent="0.35">
      <c r="A36" s="1" t="s">
        <v>5</v>
      </c>
      <c r="B36" s="1"/>
      <c r="C36" s="9">
        <f>(D57+E57+D78+E78+D99+E99+D120+E120+D141+E141+D162+E162+D183+E183+D204+E204)</f>
        <v>2</v>
      </c>
      <c r="D36" s="9"/>
      <c r="E36" s="1"/>
      <c r="F36" s="1"/>
      <c r="G36" s="1"/>
      <c r="H36" s="1"/>
      <c r="I36" s="1"/>
      <c r="J36" s="1"/>
      <c r="K36" s="1"/>
      <c r="L36" s="1"/>
      <c r="M36" s="1"/>
      <c r="N36" s="57">
        <f>(N57+N78+N99+N120+N141+N162+N183+N204)</f>
        <v>82</v>
      </c>
      <c r="O36" s="1" t="s">
        <v>43</v>
      </c>
      <c r="P36" s="1">
        <f>(P57+P78+P99+P120+P141+P162+P183+P204)</f>
        <v>75</v>
      </c>
      <c r="Q36" s="1">
        <f>(Q57+Q78+Q99+Q120+Q141+Q162+Q183+Q204)</f>
        <v>45</v>
      </c>
      <c r="R36" s="17"/>
      <c r="S36" s="1" t="s">
        <v>95</v>
      </c>
      <c r="T36" s="1" t="s">
        <v>59</v>
      </c>
      <c r="U36" s="1" t="s">
        <v>59</v>
      </c>
      <c r="V36" s="1" t="s">
        <v>59</v>
      </c>
      <c r="W36" s="1" t="s">
        <v>60</v>
      </c>
      <c r="X36" s="1" t="s">
        <v>59</v>
      </c>
      <c r="Y36" s="1" t="s">
        <v>59</v>
      </c>
      <c r="Z36" s="1" t="s">
        <v>60</v>
      </c>
      <c r="AA36" s="31" t="s">
        <v>100</v>
      </c>
      <c r="AB36" s="32">
        <v>44646</v>
      </c>
      <c r="AC36" s="1">
        <v>10.6</v>
      </c>
      <c r="AD36" s="1">
        <v>2</v>
      </c>
      <c r="AE36" s="1">
        <v>0</v>
      </c>
    </row>
    <row r="37" spans="1:31" x14ac:dyDescent="0.35">
      <c r="A37" s="1" t="s">
        <v>6</v>
      </c>
      <c r="B37" s="1" t="s">
        <v>11</v>
      </c>
      <c r="C37" s="1"/>
      <c r="D37" s="1">
        <f>(D58+D79+D100+D121+D142+D163+D184+D205)</f>
        <v>1</v>
      </c>
      <c r="E37" s="1">
        <f t="shared" ref="E37:M37" si="19">(E58+E79+E100+E121+E142+E163+E184+E205)</f>
        <v>4</v>
      </c>
      <c r="F37" s="1">
        <f t="shared" si="19"/>
        <v>5</v>
      </c>
      <c r="G37" s="1">
        <f t="shared" si="19"/>
        <v>0</v>
      </c>
      <c r="H37" s="1">
        <f t="shared" si="19"/>
        <v>0</v>
      </c>
      <c r="I37" s="1">
        <f t="shared" si="19"/>
        <v>0</v>
      </c>
      <c r="J37" s="1">
        <f t="shared" si="19"/>
        <v>5</v>
      </c>
      <c r="K37" s="1">
        <f t="shared" si="19"/>
        <v>0</v>
      </c>
      <c r="L37" s="1">
        <f t="shared" si="19"/>
        <v>0</v>
      </c>
      <c r="M37" s="1">
        <f t="shared" si="19"/>
        <v>0</v>
      </c>
      <c r="N37" s="57">
        <f>MIN(N58,N79,N100,N121,N142,N163,N184,N205)</f>
        <v>2</v>
      </c>
      <c r="O37" s="1" t="s">
        <v>44</v>
      </c>
      <c r="P37" s="11">
        <v>73</v>
      </c>
      <c r="Q37" s="1"/>
      <c r="R37" s="17"/>
      <c r="S37" s="1" t="s">
        <v>95</v>
      </c>
      <c r="T37" s="1" t="s">
        <v>59</v>
      </c>
      <c r="U37" s="1" t="s">
        <v>59</v>
      </c>
      <c r="V37" s="1" t="s">
        <v>59</v>
      </c>
      <c r="W37" s="1" t="s">
        <v>60</v>
      </c>
      <c r="X37" s="1" t="s">
        <v>59</v>
      </c>
      <c r="Y37" s="1" t="s">
        <v>59</v>
      </c>
      <c r="Z37" s="1" t="s">
        <v>60</v>
      </c>
      <c r="AA37" s="31" t="s">
        <v>100</v>
      </c>
      <c r="AB37" s="32">
        <v>44647</v>
      </c>
      <c r="AC37" s="1">
        <v>8.27</v>
      </c>
      <c r="AD37" s="1">
        <v>1.2</v>
      </c>
      <c r="AE37" s="1">
        <v>0</v>
      </c>
    </row>
    <row r="38" spans="1:31" x14ac:dyDescent="0.35">
      <c r="A38" s="1"/>
      <c r="B38" s="1" t="s">
        <v>72</v>
      </c>
      <c r="C38" s="1"/>
      <c r="D38" s="1">
        <f t="shared" ref="D38:M53" si="20">(D59+D80+D101+D122+D143+D164+D185+D206)</f>
        <v>0</v>
      </c>
      <c r="E38" s="1">
        <f t="shared" si="20"/>
        <v>0</v>
      </c>
      <c r="F38" s="1">
        <f t="shared" si="20"/>
        <v>0</v>
      </c>
      <c r="G38" s="1">
        <f t="shared" si="20"/>
        <v>0</v>
      </c>
      <c r="H38" s="1">
        <f t="shared" si="20"/>
        <v>0</v>
      </c>
      <c r="I38" s="1">
        <f t="shared" si="20"/>
        <v>0</v>
      </c>
      <c r="J38" s="1">
        <f t="shared" si="20"/>
        <v>0</v>
      </c>
      <c r="K38" s="1">
        <f t="shared" si="20"/>
        <v>0</v>
      </c>
      <c r="L38" s="1">
        <f t="shared" si="20"/>
        <v>0</v>
      </c>
      <c r="M38" s="1">
        <f t="shared" si="20"/>
        <v>0</v>
      </c>
      <c r="N38" s="57">
        <f>MAX(N59,N80,N101,N122,N143,N164,N185,N206)</f>
        <v>7</v>
      </c>
      <c r="O38" s="1" t="s">
        <v>45</v>
      </c>
      <c r="P38" s="67">
        <f>P37/(P37+Q36)</f>
        <v>0.61864406779661019</v>
      </c>
      <c r="Q38" s="1"/>
      <c r="R38" s="17"/>
      <c r="S38" s="1" t="s">
        <v>95</v>
      </c>
      <c r="T38" s="1" t="s">
        <v>59</v>
      </c>
      <c r="U38" s="1" t="s">
        <v>59</v>
      </c>
      <c r="V38" s="1" t="s">
        <v>59</v>
      </c>
      <c r="W38" s="1" t="s">
        <v>60</v>
      </c>
      <c r="X38" s="1" t="s">
        <v>59</v>
      </c>
      <c r="Y38" s="1" t="s">
        <v>59</v>
      </c>
      <c r="Z38" s="1" t="s">
        <v>60</v>
      </c>
      <c r="AA38" s="31" t="s">
        <v>100</v>
      </c>
      <c r="AB38" s="1"/>
      <c r="AC38" s="1"/>
      <c r="AD38" s="1"/>
      <c r="AE38" s="1"/>
    </row>
    <row r="39" spans="1:31" x14ac:dyDescent="0.35">
      <c r="A39" s="1"/>
      <c r="B39" s="1" t="s">
        <v>18</v>
      </c>
      <c r="C39" s="1"/>
      <c r="D39" s="1">
        <f t="shared" si="20"/>
        <v>0</v>
      </c>
      <c r="E39" s="1">
        <f t="shared" si="20"/>
        <v>0</v>
      </c>
      <c r="F39" s="1">
        <f t="shared" si="20"/>
        <v>0</v>
      </c>
      <c r="G39" s="1">
        <f t="shared" si="20"/>
        <v>0</v>
      </c>
      <c r="H39" s="1">
        <f t="shared" si="20"/>
        <v>0</v>
      </c>
      <c r="I39" s="1">
        <f t="shared" si="20"/>
        <v>0</v>
      </c>
      <c r="J39" s="1">
        <f t="shared" si="20"/>
        <v>0</v>
      </c>
      <c r="K39" s="1">
        <f t="shared" si="20"/>
        <v>0</v>
      </c>
      <c r="L39" s="1">
        <f t="shared" si="20"/>
        <v>0</v>
      </c>
      <c r="M39" s="1">
        <f t="shared" si="20"/>
        <v>0</v>
      </c>
      <c r="N39" s="57">
        <f>AVERAGE(N60,N81,N102,N123,N144,N165,N186,N207)</f>
        <v>2.894047619047619</v>
      </c>
      <c r="O39" s="1" t="s">
        <v>46</v>
      </c>
      <c r="P39" s="1"/>
      <c r="Q39" s="1"/>
      <c r="R39" s="17"/>
      <c r="S39" s="1" t="s">
        <v>95</v>
      </c>
      <c r="T39" s="1" t="s">
        <v>59</v>
      </c>
      <c r="U39" s="1" t="s">
        <v>59</v>
      </c>
      <c r="V39" s="1" t="s">
        <v>59</v>
      </c>
      <c r="W39" s="1" t="s">
        <v>60</v>
      </c>
      <c r="X39" s="1" t="s">
        <v>59</v>
      </c>
      <c r="Y39" s="1" t="s">
        <v>59</v>
      </c>
      <c r="Z39" s="1" t="s">
        <v>60</v>
      </c>
      <c r="AA39" s="31" t="s">
        <v>100</v>
      </c>
      <c r="AB39" s="1"/>
      <c r="AC39" s="1"/>
      <c r="AD39" s="1"/>
      <c r="AE39" s="1"/>
    </row>
    <row r="40" spans="1:31" x14ac:dyDescent="0.35">
      <c r="A40" s="1"/>
      <c r="B40" s="1" t="s">
        <v>13</v>
      </c>
      <c r="C40" s="1"/>
      <c r="D40" s="1">
        <f t="shared" si="20"/>
        <v>4</v>
      </c>
      <c r="E40" s="1">
        <f t="shared" si="20"/>
        <v>1</v>
      </c>
      <c r="F40" s="1">
        <f t="shared" si="20"/>
        <v>2</v>
      </c>
      <c r="G40" s="1">
        <f t="shared" si="20"/>
        <v>3</v>
      </c>
      <c r="H40" s="1">
        <f t="shared" si="20"/>
        <v>0</v>
      </c>
      <c r="I40" s="1">
        <f t="shared" si="20"/>
        <v>5</v>
      </c>
      <c r="J40" s="1">
        <f t="shared" si="20"/>
        <v>0</v>
      </c>
      <c r="K40" s="1">
        <f t="shared" si="20"/>
        <v>0</v>
      </c>
      <c r="L40" s="1">
        <f t="shared" si="20"/>
        <v>0</v>
      </c>
      <c r="M40" s="1">
        <f t="shared" si="20"/>
        <v>0</v>
      </c>
      <c r="R40" s="17"/>
      <c r="S40" s="1" t="s">
        <v>95</v>
      </c>
      <c r="T40" s="1" t="s">
        <v>59</v>
      </c>
      <c r="U40" s="1" t="s">
        <v>59</v>
      </c>
      <c r="V40" s="1" t="s">
        <v>59</v>
      </c>
      <c r="W40" s="1" t="s">
        <v>60</v>
      </c>
      <c r="X40" s="1" t="s">
        <v>59</v>
      </c>
      <c r="Y40" s="1" t="s">
        <v>59</v>
      </c>
      <c r="Z40" s="1" t="s">
        <v>60</v>
      </c>
      <c r="AA40" s="31" t="s">
        <v>100</v>
      </c>
      <c r="AB40" s="1"/>
      <c r="AC40" s="1"/>
      <c r="AD40" s="1"/>
      <c r="AE40" s="1"/>
    </row>
    <row r="41" spans="1:31" x14ac:dyDescent="0.35">
      <c r="A41" s="1" t="s">
        <v>7</v>
      </c>
      <c r="B41" s="1" t="s">
        <v>11</v>
      </c>
      <c r="C41" s="1"/>
      <c r="D41" s="1">
        <f t="shared" si="20"/>
        <v>0</v>
      </c>
      <c r="E41" s="1">
        <f t="shared" si="20"/>
        <v>1</v>
      </c>
      <c r="F41" s="1">
        <f t="shared" si="20"/>
        <v>1</v>
      </c>
      <c r="G41" s="1">
        <f t="shared" si="20"/>
        <v>0</v>
      </c>
      <c r="H41" s="1">
        <f t="shared" si="20"/>
        <v>0</v>
      </c>
      <c r="I41" s="1">
        <f t="shared" si="20"/>
        <v>0</v>
      </c>
      <c r="J41" s="1">
        <f t="shared" si="20"/>
        <v>1</v>
      </c>
      <c r="K41" s="1">
        <f t="shared" si="20"/>
        <v>0</v>
      </c>
      <c r="L41" s="1">
        <f t="shared" si="20"/>
        <v>0</v>
      </c>
      <c r="M41" s="1">
        <f t="shared" si="20"/>
        <v>0</v>
      </c>
      <c r="R41" s="17"/>
      <c r="AB41" s="1" t="s">
        <v>136</v>
      </c>
      <c r="AC41" s="1">
        <f>AVERAGE(AC36:AC37)</f>
        <v>9.4349999999999987</v>
      </c>
      <c r="AD41" s="1">
        <f t="shared" ref="AD41:AE41" si="21">AVERAGE(AD36:AD37)</f>
        <v>1.6</v>
      </c>
      <c r="AE41" s="1">
        <f t="shared" si="21"/>
        <v>0</v>
      </c>
    </row>
    <row r="42" spans="1:31" x14ac:dyDescent="0.35">
      <c r="A42" s="1"/>
      <c r="B42" s="1" t="s">
        <v>72</v>
      </c>
      <c r="C42" s="1"/>
      <c r="D42" s="1">
        <f t="shared" si="20"/>
        <v>0</v>
      </c>
      <c r="E42" s="1">
        <f t="shared" si="20"/>
        <v>0</v>
      </c>
      <c r="F42" s="1">
        <f t="shared" si="20"/>
        <v>0</v>
      </c>
      <c r="G42" s="1">
        <f t="shared" si="20"/>
        <v>0</v>
      </c>
      <c r="H42" s="1">
        <f t="shared" si="20"/>
        <v>0</v>
      </c>
      <c r="I42" s="1">
        <f t="shared" si="20"/>
        <v>0</v>
      </c>
      <c r="J42" s="1">
        <f t="shared" si="20"/>
        <v>0</v>
      </c>
      <c r="K42" s="1">
        <f t="shared" si="20"/>
        <v>0</v>
      </c>
      <c r="L42" s="1">
        <f t="shared" si="20"/>
        <v>0</v>
      </c>
      <c r="M42" s="1">
        <f t="shared" si="20"/>
        <v>0</v>
      </c>
      <c r="R42" s="17"/>
      <c r="AB42" s="1" t="s">
        <v>127</v>
      </c>
      <c r="AC42" s="1">
        <f>STDEV(AC36:AC37)</f>
        <v>1.6475588001646728</v>
      </c>
      <c r="AD42" s="1">
        <f t="shared" ref="AD42:AE42" si="22">STDEV(AD36:AD37)</f>
        <v>0.56568542494923668</v>
      </c>
      <c r="AE42" s="1">
        <f t="shared" si="22"/>
        <v>0</v>
      </c>
    </row>
    <row r="43" spans="1:31" x14ac:dyDescent="0.35">
      <c r="A43" s="1"/>
      <c r="B43" s="1" t="s">
        <v>18</v>
      </c>
      <c r="C43" s="1"/>
      <c r="D43" s="1">
        <f t="shared" si="20"/>
        <v>2</v>
      </c>
      <c r="E43" s="1">
        <f t="shared" si="20"/>
        <v>0</v>
      </c>
      <c r="F43" s="1">
        <f t="shared" si="20"/>
        <v>2</v>
      </c>
      <c r="G43" s="1">
        <f t="shared" si="20"/>
        <v>0</v>
      </c>
      <c r="H43" s="1">
        <f t="shared" si="20"/>
        <v>0</v>
      </c>
      <c r="I43" s="1">
        <f t="shared" si="20"/>
        <v>2</v>
      </c>
      <c r="J43" s="1">
        <f t="shared" si="20"/>
        <v>0</v>
      </c>
      <c r="K43" s="1">
        <f t="shared" si="20"/>
        <v>0</v>
      </c>
      <c r="L43" s="1">
        <f t="shared" si="20"/>
        <v>0</v>
      </c>
      <c r="M43" s="1">
        <f t="shared" si="20"/>
        <v>0</v>
      </c>
    </row>
    <row r="44" spans="1:31" x14ac:dyDescent="0.35">
      <c r="A44" s="1"/>
      <c r="B44" s="1" t="s">
        <v>13</v>
      </c>
      <c r="C44" s="1"/>
      <c r="D44" s="1">
        <f t="shared" si="20"/>
        <v>4</v>
      </c>
      <c r="E44" s="1">
        <f t="shared" si="20"/>
        <v>3</v>
      </c>
      <c r="F44" s="1">
        <f t="shared" si="20"/>
        <v>7</v>
      </c>
      <c r="G44" s="1">
        <f t="shared" si="20"/>
        <v>0</v>
      </c>
      <c r="H44" s="1">
        <f t="shared" si="20"/>
        <v>0</v>
      </c>
      <c r="I44" s="1">
        <f t="shared" si="20"/>
        <v>7</v>
      </c>
      <c r="J44" s="1">
        <f t="shared" si="20"/>
        <v>0</v>
      </c>
      <c r="K44" s="1">
        <f t="shared" si="20"/>
        <v>0</v>
      </c>
      <c r="L44" s="1">
        <f t="shared" si="20"/>
        <v>0</v>
      </c>
      <c r="M44" s="1">
        <f t="shared" si="20"/>
        <v>0</v>
      </c>
    </row>
    <row r="45" spans="1:31" x14ac:dyDescent="0.35">
      <c r="A45" s="1" t="s">
        <v>8</v>
      </c>
      <c r="B45" s="1" t="s">
        <v>11</v>
      </c>
      <c r="C45" s="1"/>
      <c r="D45" s="1">
        <f t="shared" si="20"/>
        <v>0</v>
      </c>
      <c r="E45" s="1">
        <f t="shared" si="20"/>
        <v>12</v>
      </c>
      <c r="F45" s="1">
        <f t="shared" si="20"/>
        <v>11</v>
      </c>
      <c r="G45" s="1">
        <f t="shared" si="20"/>
        <v>1</v>
      </c>
      <c r="H45" s="1">
        <f t="shared" si="20"/>
        <v>0</v>
      </c>
      <c r="I45" s="1">
        <f t="shared" si="20"/>
        <v>0</v>
      </c>
      <c r="J45" s="1">
        <f t="shared" si="20"/>
        <v>12</v>
      </c>
      <c r="K45" s="1">
        <f t="shared" si="20"/>
        <v>0</v>
      </c>
      <c r="L45" s="1">
        <f t="shared" si="20"/>
        <v>0</v>
      </c>
      <c r="M45" s="1">
        <f t="shared" si="20"/>
        <v>0</v>
      </c>
    </row>
    <row r="46" spans="1:31" x14ac:dyDescent="0.35">
      <c r="A46" s="1"/>
      <c r="B46" s="1" t="s">
        <v>72</v>
      </c>
      <c r="C46" s="1"/>
      <c r="D46" s="1">
        <f t="shared" si="20"/>
        <v>2</v>
      </c>
      <c r="E46" s="1">
        <f t="shared" si="20"/>
        <v>0</v>
      </c>
      <c r="F46" s="1">
        <f t="shared" si="20"/>
        <v>2</v>
      </c>
      <c r="G46" s="1">
        <f t="shared" si="20"/>
        <v>0</v>
      </c>
      <c r="H46" s="1">
        <f t="shared" si="20"/>
        <v>2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</row>
    <row r="47" spans="1:31" x14ac:dyDescent="0.35">
      <c r="A47" s="1"/>
      <c r="B47" s="1" t="s">
        <v>18</v>
      </c>
      <c r="C47" s="1"/>
      <c r="D47" s="1">
        <f t="shared" si="20"/>
        <v>11</v>
      </c>
      <c r="E47" s="1">
        <f t="shared" si="20"/>
        <v>6</v>
      </c>
      <c r="F47" s="1">
        <f t="shared" si="20"/>
        <v>17</v>
      </c>
      <c r="G47" s="1">
        <f t="shared" si="20"/>
        <v>0</v>
      </c>
      <c r="H47" s="1">
        <f t="shared" si="20"/>
        <v>0</v>
      </c>
      <c r="I47" s="1">
        <f t="shared" si="20"/>
        <v>17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</row>
    <row r="48" spans="1:31" x14ac:dyDescent="0.35">
      <c r="A48" s="1"/>
      <c r="B48" s="1" t="s">
        <v>13</v>
      </c>
      <c r="C48" s="1"/>
      <c r="D48" s="1">
        <f t="shared" si="20"/>
        <v>23</v>
      </c>
      <c r="E48" s="1">
        <f t="shared" si="20"/>
        <v>19</v>
      </c>
      <c r="F48" s="1">
        <f t="shared" si="20"/>
        <v>37</v>
      </c>
      <c r="G48" s="1">
        <f t="shared" si="20"/>
        <v>5</v>
      </c>
      <c r="H48" s="1">
        <f t="shared" si="20"/>
        <v>0</v>
      </c>
      <c r="I48" s="1">
        <f t="shared" si="20"/>
        <v>38</v>
      </c>
      <c r="J48" s="1">
        <f t="shared" si="20"/>
        <v>4</v>
      </c>
      <c r="K48" s="1">
        <f t="shared" si="20"/>
        <v>0</v>
      </c>
      <c r="L48" s="1">
        <f t="shared" si="20"/>
        <v>0</v>
      </c>
      <c r="M48" s="1">
        <f t="shared" si="20"/>
        <v>0</v>
      </c>
    </row>
    <row r="49" spans="1:17" x14ac:dyDescent="0.35">
      <c r="A49" s="1"/>
      <c r="B49" s="1" t="s">
        <v>74</v>
      </c>
      <c r="C49" s="1"/>
      <c r="D49" s="1">
        <f t="shared" si="20"/>
        <v>0</v>
      </c>
      <c r="E49" s="1">
        <f t="shared" si="20"/>
        <v>1</v>
      </c>
      <c r="F49" s="1">
        <f t="shared" si="20"/>
        <v>0</v>
      </c>
      <c r="G49" s="1">
        <f t="shared" si="20"/>
        <v>1</v>
      </c>
      <c r="H49" s="1">
        <f t="shared" si="20"/>
        <v>1</v>
      </c>
      <c r="I49" s="1">
        <f t="shared" si="20"/>
        <v>0</v>
      </c>
      <c r="J49" s="1">
        <f t="shared" si="20"/>
        <v>0</v>
      </c>
      <c r="K49" s="1">
        <f t="shared" si="20"/>
        <v>0</v>
      </c>
      <c r="L49" s="1">
        <f t="shared" si="20"/>
        <v>0</v>
      </c>
      <c r="M49" s="1">
        <f t="shared" si="20"/>
        <v>0</v>
      </c>
    </row>
    <row r="50" spans="1:17" x14ac:dyDescent="0.35">
      <c r="A50" s="1" t="s">
        <v>9</v>
      </c>
      <c r="B50" s="1" t="s">
        <v>11</v>
      </c>
      <c r="C50" s="1"/>
      <c r="D50" s="1">
        <f t="shared" si="20"/>
        <v>0</v>
      </c>
      <c r="E50" s="1">
        <f t="shared" si="20"/>
        <v>0</v>
      </c>
      <c r="F50" s="1">
        <f t="shared" si="20"/>
        <v>0</v>
      </c>
      <c r="G50" s="1">
        <f t="shared" si="20"/>
        <v>0</v>
      </c>
      <c r="H50" s="1">
        <f t="shared" si="20"/>
        <v>0</v>
      </c>
      <c r="I50" s="1">
        <f t="shared" si="20"/>
        <v>0</v>
      </c>
      <c r="J50" s="1">
        <f t="shared" si="20"/>
        <v>0</v>
      </c>
      <c r="K50" s="1">
        <f t="shared" si="20"/>
        <v>0</v>
      </c>
      <c r="L50" s="1">
        <f t="shared" si="20"/>
        <v>0</v>
      </c>
      <c r="M50" s="1">
        <f t="shared" si="20"/>
        <v>0</v>
      </c>
    </row>
    <row r="51" spans="1:17" x14ac:dyDescent="0.35">
      <c r="A51" s="1"/>
      <c r="B51" s="1" t="s">
        <v>69</v>
      </c>
      <c r="C51" s="1"/>
      <c r="D51" s="1">
        <f t="shared" si="20"/>
        <v>0</v>
      </c>
      <c r="E51" s="1">
        <f t="shared" si="20"/>
        <v>0</v>
      </c>
      <c r="F51" s="1">
        <f t="shared" si="20"/>
        <v>0</v>
      </c>
      <c r="G51" s="1">
        <f t="shared" si="20"/>
        <v>0</v>
      </c>
      <c r="H51" s="1">
        <f t="shared" si="20"/>
        <v>0</v>
      </c>
      <c r="I51" s="1">
        <f t="shared" si="20"/>
        <v>0</v>
      </c>
      <c r="J51" s="1">
        <f t="shared" si="20"/>
        <v>0</v>
      </c>
      <c r="K51" s="1">
        <f t="shared" si="20"/>
        <v>0</v>
      </c>
      <c r="L51" s="1">
        <f t="shared" si="20"/>
        <v>0</v>
      </c>
      <c r="M51" s="1">
        <f t="shared" si="20"/>
        <v>0</v>
      </c>
    </row>
    <row r="52" spans="1:17" x14ac:dyDescent="0.35">
      <c r="A52" s="1"/>
      <c r="B52" s="1" t="s">
        <v>18</v>
      </c>
      <c r="C52" s="1"/>
      <c r="D52" s="1">
        <f t="shared" si="20"/>
        <v>3</v>
      </c>
      <c r="E52" s="1">
        <f t="shared" si="20"/>
        <v>1</v>
      </c>
      <c r="F52" s="1">
        <f t="shared" si="20"/>
        <v>4</v>
      </c>
      <c r="G52" s="1">
        <f t="shared" si="20"/>
        <v>0</v>
      </c>
      <c r="H52" s="1">
        <f t="shared" si="20"/>
        <v>0</v>
      </c>
      <c r="I52" s="1">
        <f t="shared" si="20"/>
        <v>4</v>
      </c>
      <c r="J52" s="1">
        <f t="shared" si="20"/>
        <v>0</v>
      </c>
      <c r="K52" s="1">
        <f t="shared" si="20"/>
        <v>0</v>
      </c>
      <c r="L52" s="1">
        <f t="shared" si="20"/>
        <v>0</v>
      </c>
      <c r="M52" s="1">
        <f t="shared" si="20"/>
        <v>0</v>
      </c>
    </row>
    <row r="53" spans="1:17" x14ac:dyDescent="0.35">
      <c r="A53" s="1"/>
      <c r="B53" s="1" t="s">
        <v>13</v>
      </c>
      <c r="C53" s="1"/>
      <c r="D53" s="1">
        <f t="shared" si="20"/>
        <v>8</v>
      </c>
      <c r="E53" s="1">
        <f t="shared" si="20"/>
        <v>10</v>
      </c>
      <c r="F53" s="1">
        <f t="shared" si="20"/>
        <v>18</v>
      </c>
      <c r="G53" s="1">
        <f t="shared" si="20"/>
        <v>0</v>
      </c>
      <c r="H53" s="1">
        <f t="shared" si="20"/>
        <v>0</v>
      </c>
      <c r="I53" s="1">
        <f t="shared" si="20"/>
        <v>17</v>
      </c>
      <c r="J53" s="1">
        <f t="shared" si="20"/>
        <v>1</v>
      </c>
      <c r="K53" s="1">
        <f t="shared" si="20"/>
        <v>0</v>
      </c>
      <c r="L53" s="1">
        <f t="shared" si="20"/>
        <v>0</v>
      </c>
      <c r="M53" s="1">
        <f t="shared" si="20"/>
        <v>0</v>
      </c>
      <c r="N53" s="12" t="s">
        <v>66</v>
      </c>
    </row>
    <row r="54" spans="1:17" x14ac:dyDescent="0.35">
      <c r="A54" s="1"/>
      <c r="B54" s="1" t="s">
        <v>74</v>
      </c>
      <c r="C54" s="1"/>
      <c r="D54" s="1">
        <f t="shared" ref="D54:M54" si="23">(D75+D96+D117+D138+D159+D180+D201+D222)</f>
        <v>0</v>
      </c>
      <c r="E54" s="1">
        <f t="shared" si="23"/>
        <v>0</v>
      </c>
      <c r="F54" s="1">
        <f t="shared" si="23"/>
        <v>0</v>
      </c>
      <c r="G54" s="1">
        <f t="shared" si="23"/>
        <v>0</v>
      </c>
      <c r="H54" s="1">
        <f t="shared" si="23"/>
        <v>0</v>
      </c>
      <c r="I54" s="1">
        <f t="shared" si="23"/>
        <v>0</v>
      </c>
      <c r="J54" s="1">
        <f t="shared" si="23"/>
        <v>0</v>
      </c>
      <c r="K54" s="1">
        <f t="shared" si="23"/>
        <v>0</v>
      </c>
      <c r="L54" s="1">
        <f t="shared" si="23"/>
        <v>0</v>
      </c>
      <c r="M54" s="1">
        <f t="shared" si="23"/>
        <v>0</v>
      </c>
      <c r="N54" s="12">
        <f>SUM(C36:E54)</f>
        <v>118</v>
      </c>
    </row>
    <row r="56" spans="1:17" x14ac:dyDescent="0.35">
      <c r="A56" s="18" t="s">
        <v>41</v>
      </c>
      <c r="B56" s="20">
        <v>44646</v>
      </c>
      <c r="C56" s="16" t="s">
        <v>42</v>
      </c>
      <c r="D56" s="16" t="s">
        <v>3</v>
      </c>
      <c r="E56" s="16" t="s">
        <v>4</v>
      </c>
      <c r="F56" s="16" t="s">
        <v>10</v>
      </c>
      <c r="G56" s="16" t="s">
        <v>17</v>
      </c>
      <c r="H56" s="16" t="s">
        <v>19</v>
      </c>
      <c r="I56" s="16" t="s">
        <v>20</v>
      </c>
      <c r="J56" s="16" t="s">
        <v>21</v>
      </c>
      <c r="K56" s="16" t="s">
        <v>22</v>
      </c>
      <c r="L56" s="16" t="s">
        <v>23</v>
      </c>
      <c r="M56" s="16" t="s">
        <v>24</v>
      </c>
      <c r="N56" s="16" t="s">
        <v>15</v>
      </c>
      <c r="P56" s="16" t="s">
        <v>28</v>
      </c>
      <c r="Q56" s="16" t="s">
        <v>29</v>
      </c>
    </row>
    <row r="57" spans="1:17" x14ac:dyDescent="0.35">
      <c r="A57" s="16" t="s">
        <v>5</v>
      </c>
      <c r="D57" s="16">
        <v>0</v>
      </c>
      <c r="E57" s="16">
        <v>0</v>
      </c>
      <c r="N57" s="16">
        <v>4</v>
      </c>
      <c r="O57" s="16" t="s">
        <v>43</v>
      </c>
      <c r="P57" s="16">
        <v>5</v>
      </c>
      <c r="Q57" s="16">
        <v>4</v>
      </c>
    </row>
    <row r="58" spans="1:17" x14ac:dyDescent="0.35">
      <c r="A58" s="16" t="s">
        <v>6</v>
      </c>
      <c r="B58" s="16" t="s">
        <v>11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2</v>
      </c>
      <c r="O58" s="16" t="s">
        <v>44</v>
      </c>
    </row>
    <row r="59" spans="1:17" x14ac:dyDescent="0.35">
      <c r="B59" s="16" t="s">
        <v>72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2</v>
      </c>
      <c r="O59" s="16" t="s">
        <v>45</v>
      </c>
    </row>
    <row r="60" spans="1:17" x14ac:dyDescent="0.35">
      <c r="B60" s="16" t="s">
        <v>18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2</v>
      </c>
      <c r="O60" s="16" t="s">
        <v>46</v>
      </c>
    </row>
    <row r="61" spans="1:17" x14ac:dyDescent="0.35">
      <c r="B61" s="16" t="s">
        <v>13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</row>
    <row r="62" spans="1:17" x14ac:dyDescent="0.35">
      <c r="A62" s="16" t="s">
        <v>7</v>
      </c>
      <c r="B62" s="16" t="s">
        <v>11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</row>
    <row r="63" spans="1:17" x14ac:dyDescent="0.35">
      <c r="B63" s="16" t="s">
        <v>72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</row>
    <row r="64" spans="1:17" x14ac:dyDescent="0.35">
      <c r="B64" s="16" t="s">
        <v>18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</row>
    <row r="65" spans="1:17" x14ac:dyDescent="0.35">
      <c r="B65" s="16" t="s">
        <v>13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</row>
    <row r="66" spans="1:17" x14ac:dyDescent="0.35">
      <c r="A66" s="16" t="s">
        <v>8</v>
      </c>
      <c r="B66" s="16" t="s">
        <v>11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</row>
    <row r="67" spans="1:17" x14ac:dyDescent="0.35">
      <c r="B67" s="16" t="s">
        <v>72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</row>
    <row r="68" spans="1:17" x14ac:dyDescent="0.35">
      <c r="B68" s="16" t="s">
        <v>18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</row>
    <row r="69" spans="1:17" x14ac:dyDescent="0.35">
      <c r="B69" s="16" t="s">
        <v>13</v>
      </c>
      <c r="D69" s="16">
        <v>4</v>
      </c>
      <c r="E69" s="16">
        <v>4</v>
      </c>
      <c r="F69" s="16">
        <v>7</v>
      </c>
      <c r="G69" s="16">
        <v>1</v>
      </c>
      <c r="H69" s="16">
        <v>0</v>
      </c>
      <c r="I69" s="16">
        <v>5</v>
      </c>
      <c r="J69" s="16">
        <v>3</v>
      </c>
      <c r="K69" s="16">
        <v>0</v>
      </c>
      <c r="L69" s="16">
        <v>0</v>
      </c>
      <c r="M69" s="16">
        <v>0</v>
      </c>
    </row>
    <row r="70" spans="1:17" x14ac:dyDescent="0.35">
      <c r="B70" s="16" t="s">
        <v>74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</row>
    <row r="71" spans="1:17" x14ac:dyDescent="0.35">
      <c r="A71" s="16" t="s">
        <v>9</v>
      </c>
      <c r="B71" s="16" t="s">
        <v>11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</row>
    <row r="72" spans="1:17" x14ac:dyDescent="0.35">
      <c r="B72" s="16" t="s">
        <v>72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</row>
    <row r="73" spans="1:17" x14ac:dyDescent="0.35">
      <c r="B73" s="16" t="s">
        <v>18</v>
      </c>
      <c r="D73" s="16">
        <v>1</v>
      </c>
      <c r="E73" s="16">
        <v>0</v>
      </c>
      <c r="F73" s="16">
        <v>1</v>
      </c>
      <c r="G73" s="16">
        <v>0</v>
      </c>
      <c r="H73" s="16">
        <v>0</v>
      </c>
      <c r="I73" s="16">
        <v>1</v>
      </c>
      <c r="J73" s="16">
        <v>0</v>
      </c>
      <c r="K73" s="16">
        <v>0</v>
      </c>
      <c r="L73" s="16">
        <v>0</v>
      </c>
      <c r="M73" s="16">
        <v>0</v>
      </c>
    </row>
    <row r="74" spans="1:17" x14ac:dyDescent="0.35">
      <c r="B74" s="16" t="s">
        <v>13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</row>
    <row r="75" spans="1:17" x14ac:dyDescent="0.35">
      <c r="B75" s="16" t="s">
        <v>74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</row>
    <row r="77" spans="1:17" x14ac:dyDescent="0.35">
      <c r="A77" s="18" t="s">
        <v>41</v>
      </c>
      <c r="B77" s="19">
        <v>44646</v>
      </c>
      <c r="C77" s="16" t="s">
        <v>81</v>
      </c>
      <c r="D77" s="16" t="s">
        <v>3</v>
      </c>
      <c r="E77" s="16" t="s">
        <v>4</v>
      </c>
      <c r="F77" s="16" t="s">
        <v>10</v>
      </c>
      <c r="G77" s="16" t="s">
        <v>17</v>
      </c>
      <c r="H77" s="16" t="s">
        <v>19</v>
      </c>
      <c r="I77" s="16" t="s">
        <v>20</v>
      </c>
      <c r="J77" s="16" t="s">
        <v>21</v>
      </c>
      <c r="K77" s="16" t="s">
        <v>22</v>
      </c>
      <c r="L77" s="16" t="s">
        <v>23</v>
      </c>
      <c r="M77" s="16" t="s">
        <v>24</v>
      </c>
      <c r="N77" s="16" t="s">
        <v>15</v>
      </c>
      <c r="P77" s="16" t="s">
        <v>28</v>
      </c>
      <c r="Q77" s="16" t="s">
        <v>29</v>
      </c>
    </row>
    <row r="78" spans="1:17" x14ac:dyDescent="0.35">
      <c r="A78" s="16" t="s">
        <v>5</v>
      </c>
      <c r="D78" s="16">
        <v>0</v>
      </c>
      <c r="E78" s="16">
        <v>0</v>
      </c>
      <c r="N78" s="16">
        <v>16</v>
      </c>
      <c r="O78" s="16" t="s">
        <v>43</v>
      </c>
      <c r="P78" s="16">
        <v>17</v>
      </c>
      <c r="Q78" s="16">
        <v>4</v>
      </c>
    </row>
    <row r="79" spans="1:17" x14ac:dyDescent="0.35">
      <c r="A79" s="16" t="s">
        <v>6</v>
      </c>
      <c r="B79" s="16" t="s">
        <v>11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2</v>
      </c>
      <c r="O79" s="16" t="s">
        <v>44</v>
      </c>
    </row>
    <row r="80" spans="1:17" x14ac:dyDescent="0.35">
      <c r="B80" s="16" t="s">
        <v>72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4</v>
      </c>
      <c r="O80" s="16" t="s">
        <v>45</v>
      </c>
    </row>
    <row r="81" spans="1:15" x14ac:dyDescent="0.35">
      <c r="B81" s="16" t="s">
        <v>18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2.2857142857142856</v>
      </c>
      <c r="O81" s="16" t="s">
        <v>46</v>
      </c>
    </row>
    <row r="82" spans="1:15" x14ac:dyDescent="0.35">
      <c r="B82" s="16" t="s">
        <v>13</v>
      </c>
      <c r="D82" s="16">
        <v>0</v>
      </c>
      <c r="E82" s="16">
        <v>1</v>
      </c>
      <c r="F82" s="16">
        <v>1</v>
      </c>
      <c r="G82" s="16">
        <v>0</v>
      </c>
      <c r="H82" s="16">
        <v>0</v>
      </c>
      <c r="I82" s="16">
        <v>1</v>
      </c>
      <c r="J82" s="16">
        <v>0</v>
      </c>
      <c r="K82" s="16">
        <v>0</v>
      </c>
      <c r="L82" s="16">
        <v>0</v>
      </c>
      <c r="M82" s="16">
        <v>0</v>
      </c>
    </row>
    <row r="83" spans="1:15" x14ac:dyDescent="0.35">
      <c r="A83" s="16" t="s">
        <v>7</v>
      </c>
      <c r="B83" s="16" t="s">
        <v>11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</row>
    <row r="84" spans="1:15" x14ac:dyDescent="0.35">
      <c r="B84" s="16" t="s">
        <v>72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</row>
    <row r="85" spans="1:15" x14ac:dyDescent="0.35">
      <c r="B85" s="16" t="s">
        <v>18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</row>
    <row r="86" spans="1:15" x14ac:dyDescent="0.35">
      <c r="B86" s="16" t="s">
        <v>13</v>
      </c>
      <c r="D86" s="16">
        <v>0</v>
      </c>
      <c r="E86" s="16">
        <v>1</v>
      </c>
      <c r="F86" s="16">
        <v>1</v>
      </c>
      <c r="G86" s="16">
        <v>0</v>
      </c>
      <c r="H86" s="16">
        <v>0</v>
      </c>
      <c r="I86" s="16">
        <v>1</v>
      </c>
      <c r="J86" s="16">
        <v>0</v>
      </c>
      <c r="K86" s="16">
        <v>0</v>
      </c>
      <c r="L86" s="16">
        <v>0</v>
      </c>
      <c r="M86" s="16">
        <v>0</v>
      </c>
    </row>
    <row r="87" spans="1:15" x14ac:dyDescent="0.35">
      <c r="A87" s="16" t="s">
        <v>8</v>
      </c>
      <c r="B87" s="16" t="s">
        <v>11</v>
      </c>
      <c r="D87" s="16">
        <v>0</v>
      </c>
      <c r="E87" s="16">
        <v>1</v>
      </c>
      <c r="F87" s="16">
        <v>1</v>
      </c>
      <c r="G87" s="16">
        <v>0</v>
      </c>
      <c r="H87" s="16">
        <v>0</v>
      </c>
      <c r="I87" s="16">
        <v>0</v>
      </c>
      <c r="J87" s="16">
        <v>1</v>
      </c>
      <c r="K87" s="16">
        <v>0</v>
      </c>
      <c r="L87" s="16">
        <v>0</v>
      </c>
      <c r="M87" s="16">
        <v>0</v>
      </c>
    </row>
    <row r="88" spans="1:15" x14ac:dyDescent="0.35">
      <c r="B88" s="16" t="s">
        <v>72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</row>
    <row r="89" spans="1:15" x14ac:dyDescent="0.35">
      <c r="B89" s="16" t="s">
        <v>18</v>
      </c>
      <c r="D89" s="16">
        <v>5</v>
      </c>
      <c r="E89" s="16">
        <v>1</v>
      </c>
      <c r="F89" s="16">
        <v>6</v>
      </c>
      <c r="G89" s="16">
        <v>0</v>
      </c>
      <c r="H89" s="16">
        <v>0</v>
      </c>
      <c r="I89" s="16">
        <v>6</v>
      </c>
      <c r="J89" s="16">
        <v>0</v>
      </c>
      <c r="K89" s="16">
        <v>0</v>
      </c>
      <c r="L89" s="16">
        <v>0</v>
      </c>
      <c r="M89" s="16">
        <v>0</v>
      </c>
    </row>
    <row r="90" spans="1:15" x14ac:dyDescent="0.35">
      <c r="B90" s="16" t="s">
        <v>13</v>
      </c>
      <c r="D90" s="16">
        <v>2</v>
      </c>
      <c r="E90" s="16">
        <v>3</v>
      </c>
      <c r="F90" s="16">
        <v>5</v>
      </c>
      <c r="G90" s="16">
        <v>0</v>
      </c>
      <c r="H90" s="16">
        <v>0</v>
      </c>
      <c r="I90" s="16">
        <v>5</v>
      </c>
      <c r="J90" s="16">
        <v>0</v>
      </c>
      <c r="K90" s="16">
        <v>0</v>
      </c>
      <c r="L90" s="16">
        <v>0</v>
      </c>
      <c r="M90" s="16">
        <v>0</v>
      </c>
    </row>
    <row r="91" spans="1:15" x14ac:dyDescent="0.35">
      <c r="B91" s="16" t="s">
        <v>74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</row>
    <row r="92" spans="1:15" x14ac:dyDescent="0.35">
      <c r="A92" s="16" t="s">
        <v>9</v>
      </c>
      <c r="B92" s="16" t="s">
        <v>11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</row>
    <row r="93" spans="1:15" x14ac:dyDescent="0.35">
      <c r="B93" s="16" t="s">
        <v>72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</row>
    <row r="94" spans="1:15" x14ac:dyDescent="0.35">
      <c r="B94" s="16" t="s">
        <v>18</v>
      </c>
      <c r="D94" s="16">
        <v>2</v>
      </c>
      <c r="E94" s="16">
        <v>0</v>
      </c>
      <c r="F94" s="16">
        <v>2</v>
      </c>
      <c r="G94" s="16">
        <v>0</v>
      </c>
      <c r="H94" s="16">
        <v>0</v>
      </c>
      <c r="I94" s="16">
        <v>2</v>
      </c>
      <c r="J94" s="16">
        <v>0</v>
      </c>
      <c r="K94" s="16">
        <v>0</v>
      </c>
      <c r="L94" s="16">
        <v>0</v>
      </c>
      <c r="M94" s="16">
        <v>0</v>
      </c>
    </row>
    <row r="95" spans="1:15" x14ac:dyDescent="0.35">
      <c r="B95" s="16" t="s">
        <v>13</v>
      </c>
      <c r="D95" s="16">
        <v>2</v>
      </c>
      <c r="E95" s="16">
        <v>3</v>
      </c>
      <c r="F95" s="16">
        <v>5</v>
      </c>
      <c r="G95" s="16">
        <v>0</v>
      </c>
      <c r="H95" s="16">
        <v>0</v>
      </c>
      <c r="I95" s="16">
        <v>5</v>
      </c>
      <c r="J95" s="16">
        <v>0</v>
      </c>
      <c r="K95" s="16">
        <v>0</v>
      </c>
      <c r="L95" s="16">
        <v>0</v>
      </c>
      <c r="M95" s="16">
        <v>0</v>
      </c>
    </row>
    <row r="96" spans="1:15" x14ac:dyDescent="0.35">
      <c r="B96" s="16" t="s">
        <v>74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</row>
    <row r="98" spans="1:17" x14ac:dyDescent="0.35">
      <c r="A98" s="18" t="s">
        <v>41</v>
      </c>
      <c r="B98" s="20">
        <v>44646</v>
      </c>
      <c r="C98" s="16" t="s">
        <v>82</v>
      </c>
      <c r="D98" s="16" t="s">
        <v>3</v>
      </c>
      <c r="E98" s="16" t="s">
        <v>4</v>
      </c>
      <c r="F98" s="16" t="s">
        <v>10</v>
      </c>
      <c r="G98" s="16" t="s">
        <v>17</v>
      </c>
      <c r="H98" s="16" t="s">
        <v>19</v>
      </c>
      <c r="I98" s="16" t="s">
        <v>20</v>
      </c>
      <c r="J98" s="16" t="s">
        <v>21</v>
      </c>
      <c r="K98" s="16" t="s">
        <v>22</v>
      </c>
      <c r="L98" s="16" t="s">
        <v>23</v>
      </c>
      <c r="M98" s="16" t="s">
        <v>24</v>
      </c>
      <c r="N98" s="16" t="s">
        <v>15</v>
      </c>
      <c r="P98" s="16" t="s">
        <v>28</v>
      </c>
      <c r="Q98" s="16" t="s">
        <v>29</v>
      </c>
    </row>
    <row r="99" spans="1:17" x14ac:dyDescent="0.35">
      <c r="A99" s="16" t="s">
        <v>5</v>
      </c>
      <c r="D99" s="16">
        <v>0</v>
      </c>
      <c r="E99" s="16">
        <v>2</v>
      </c>
      <c r="N99" s="16">
        <v>20</v>
      </c>
      <c r="O99" s="16" t="s">
        <v>43</v>
      </c>
      <c r="P99" s="16">
        <v>13</v>
      </c>
      <c r="Q99" s="16">
        <v>9</v>
      </c>
    </row>
    <row r="100" spans="1:17" x14ac:dyDescent="0.35">
      <c r="A100" s="16" t="s">
        <v>6</v>
      </c>
      <c r="B100" s="16" t="s">
        <v>11</v>
      </c>
      <c r="D100" s="16">
        <v>1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1</v>
      </c>
      <c r="K100" s="16">
        <v>0</v>
      </c>
      <c r="L100" s="16">
        <v>0</v>
      </c>
      <c r="M100" s="16">
        <v>0</v>
      </c>
      <c r="N100" s="16">
        <v>2</v>
      </c>
      <c r="O100" s="16" t="s">
        <v>44</v>
      </c>
    </row>
    <row r="101" spans="1:17" x14ac:dyDescent="0.35">
      <c r="B101" s="16" t="s">
        <v>72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4</v>
      </c>
      <c r="O101" s="16" t="s">
        <v>45</v>
      </c>
    </row>
    <row r="102" spans="1:17" x14ac:dyDescent="0.35">
      <c r="B102" s="16" t="s">
        <v>18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2.5</v>
      </c>
      <c r="O102" s="16" t="s">
        <v>46</v>
      </c>
    </row>
    <row r="103" spans="1:17" x14ac:dyDescent="0.35">
      <c r="B103" s="16" t="s">
        <v>13</v>
      </c>
      <c r="D103" s="16">
        <v>1</v>
      </c>
      <c r="E103" s="16">
        <v>0</v>
      </c>
      <c r="F103" s="16">
        <v>1</v>
      </c>
      <c r="G103" s="16">
        <v>0</v>
      </c>
      <c r="H103" s="16">
        <v>0</v>
      </c>
      <c r="I103" s="16">
        <v>1</v>
      </c>
      <c r="J103" s="16">
        <v>0</v>
      </c>
      <c r="K103" s="16">
        <v>0</v>
      </c>
      <c r="L103" s="16">
        <v>0</v>
      </c>
      <c r="M103" s="16">
        <v>0</v>
      </c>
    </row>
    <row r="104" spans="1:17" x14ac:dyDescent="0.35">
      <c r="A104" s="16" t="s">
        <v>7</v>
      </c>
      <c r="B104" s="16" t="s">
        <v>11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</row>
    <row r="105" spans="1:17" x14ac:dyDescent="0.35">
      <c r="B105" s="16" t="s">
        <v>72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</row>
    <row r="106" spans="1:17" x14ac:dyDescent="0.35">
      <c r="B106" s="16" t="s">
        <v>18</v>
      </c>
      <c r="D106" s="16">
        <v>1</v>
      </c>
      <c r="E106" s="16">
        <v>0</v>
      </c>
      <c r="F106" s="16">
        <v>1</v>
      </c>
      <c r="G106" s="16">
        <v>0</v>
      </c>
      <c r="H106" s="16">
        <v>0</v>
      </c>
      <c r="I106" s="16">
        <v>1</v>
      </c>
      <c r="J106" s="16">
        <v>0</v>
      </c>
      <c r="K106" s="16">
        <v>0</v>
      </c>
      <c r="L106" s="16">
        <v>0</v>
      </c>
      <c r="M106" s="16">
        <v>0</v>
      </c>
    </row>
    <row r="107" spans="1:17" x14ac:dyDescent="0.35">
      <c r="B107" s="16" t="s">
        <v>13</v>
      </c>
      <c r="D107" s="16">
        <v>1</v>
      </c>
      <c r="E107" s="16">
        <v>0</v>
      </c>
      <c r="F107" s="16">
        <v>1</v>
      </c>
      <c r="G107" s="16">
        <v>0</v>
      </c>
      <c r="H107" s="16">
        <v>0</v>
      </c>
      <c r="I107" s="16">
        <v>1</v>
      </c>
      <c r="J107" s="16">
        <v>0</v>
      </c>
      <c r="K107" s="16">
        <v>0</v>
      </c>
      <c r="L107" s="16">
        <v>0</v>
      </c>
      <c r="M107" s="16">
        <v>0</v>
      </c>
    </row>
    <row r="108" spans="1:17" x14ac:dyDescent="0.35">
      <c r="A108" s="16" t="s">
        <v>8</v>
      </c>
      <c r="B108" s="16" t="s">
        <v>11</v>
      </c>
      <c r="D108" s="16">
        <v>0</v>
      </c>
      <c r="E108" s="16">
        <v>1</v>
      </c>
      <c r="F108" s="16">
        <v>1</v>
      </c>
      <c r="G108" s="16">
        <v>0</v>
      </c>
      <c r="H108" s="16">
        <v>0</v>
      </c>
      <c r="I108" s="16">
        <v>0</v>
      </c>
      <c r="J108" s="16">
        <v>1</v>
      </c>
      <c r="K108" s="16">
        <v>0</v>
      </c>
      <c r="L108" s="16">
        <v>0</v>
      </c>
      <c r="M108" s="16">
        <v>0</v>
      </c>
    </row>
    <row r="109" spans="1:17" x14ac:dyDescent="0.35">
      <c r="B109" s="16" t="s">
        <v>72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</row>
    <row r="110" spans="1:17" x14ac:dyDescent="0.35">
      <c r="B110" s="16" t="s">
        <v>18</v>
      </c>
      <c r="D110" s="16">
        <v>1</v>
      </c>
      <c r="E110" s="16">
        <v>1</v>
      </c>
      <c r="F110" s="16">
        <v>2</v>
      </c>
      <c r="G110" s="16">
        <v>0</v>
      </c>
      <c r="H110" s="16">
        <v>0</v>
      </c>
      <c r="I110" s="16">
        <v>2</v>
      </c>
      <c r="J110" s="16">
        <v>0</v>
      </c>
      <c r="K110" s="16">
        <v>0</v>
      </c>
      <c r="L110" s="16">
        <v>0</v>
      </c>
      <c r="M110" s="16">
        <v>0</v>
      </c>
    </row>
    <row r="111" spans="1:17" x14ac:dyDescent="0.35">
      <c r="B111" s="16" t="s">
        <v>13</v>
      </c>
      <c r="D111" s="16">
        <v>7</v>
      </c>
      <c r="E111" s="16">
        <v>3</v>
      </c>
      <c r="F111" s="16">
        <v>10</v>
      </c>
      <c r="G111" s="16">
        <v>0</v>
      </c>
      <c r="H111" s="16">
        <v>0</v>
      </c>
      <c r="I111" s="16">
        <v>10</v>
      </c>
      <c r="J111" s="16">
        <v>0</v>
      </c>
      <c r="K111" s="16">
        <v>0</v>
      </c>
      <c r="L111" s="16">
        <v>0</v>
      </c>
      <c r="M111" s="16">
        <v>0</v>
      </c>
    </row>
    <row r="112" spans="1:17" x14ac:dyDescent="0.35">
      <c r="B112" s="16" t="s">
        <v>74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</row>
    <row r="113" spans="1:17" x14ac:dyDescent="0.35">
      <c r="A113" s="16" t="s">
        <v>9</v>
      </c>
      <c r="B113" s="16" t="s">
        <v>11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</row>
    <row r="114" spans="1:17" x14ac:dyDescent="0.35">
      <c r="B114" s="16" t="s">
        <v>72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</row>
    <row r="115" spans="1:17" x14ac:dyDescent="0.35">
      <c r="B115" s="16" t="s">
        <v>18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</row>
    <row r="116" spans="1:17" x14ac:dyDescent="0.35">
      <c r="B116" s="16" t="s">
        <v>13</v>
      </c>
      <c r="D116" s="16">
        <v>1</v>
      </c>
      <c r="E116" s="16">
        <v>2</v>
      </c>
      <c r="F116" s="16">
        <v>3</v>
      </c>
      <c r="G116" s="16">
        <v>0</v>
      </c>
      <c r="H116" s="16">
        <v>0</v>
      </c>
      <c r="I116" s="16">
        <v>2</v>
      </c>
      <c r="J116" s="16">
        <v>1</v>
      </c>
      <c r="K116" s="16">
        <v>0</v>
      </c>
      <c r="L116" s="16">
        <v>0</v>
      </c>
      <c r="M116" s="16">
        <v>0</v>
      </c>
    </row>
    <row r="117" spans="1:17" x14ac:dyDescent="0.35">
      <c r="B117" s="16" t="s">
        <v>74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</row>
    <row r="119" spans="1:17" x14ac:dyDescent="0.35">
      <c r="A119" s="18" t="s">
        <v>41</v>
      </c>
      <c r="B119" s="20">
        <v>44646</v>
      </c>
      <c r="C119" s="16" t="s">
        <v>62</v>
      </c>
      <c r="D119" s="16" t="s">
        <v>3</v>
      </c>
      <c r="E119" s="16" t="s">
        <v>4</v>
      </c>
      <c r="F119" s="16" t="s">
        <v>10</v>
      </c>
      <c r="G119" s="16" t="s">
        <v>17</v>
      </c>
      <c r="H119" s="16" t="s">
        <v>19</v>
      </c>
      <c r="I119" s="16" t="s">
        <v>20</v>
      </c>
      <c r="J119" s="16" t="s">
        <v>21</v>
      </c>
      <c r="K119" s="16" t="s">
        <v>22</v>
      </c>
      <c r="L119" s="16" t="s">
        <v>23</v>
      </c>
      <c r="M119" s="16" t="s">
        <v>24</v>
      </c>
      <c r="N119" s="16" t="s">
        <v>15</v>
      </c>
      <c r="P119" s="16" t="s">
        <v>28</v>
      </c>
      <c r="Q119" s="16" t="s">
        <v>29</v>
      </c>
    </row>
    <row r="120" spans="1:17" x14ac:dyDescent="0.35">
      <c r="A120" s="16" t="s">
        <v>5</v>
      </c>
      <c r="D120" s="16">
        <v>0</v>
      </c>
      <c r="E120" s="16">
        <v>0</v>
      </c>
      <c r="N120" s="16">
        <v>9</v>
      </c>
      <c r="O120" s="16" t="s">
        <v>43</v>
      </c>
      <c r="P120" s="16">
        <v>5</v>
      </c>
      <c r="Q120" s="16">
        <v>11</v>
      </c>
    </row>
    <row r="121" spans="1:17" x14ac:dyDescent="0.35">
      <c r="A121" s="16" t="s">
        <v>6</v>
      </c>
      <c r="B121" s="16" t="s">
        <v>11</v>
      </c>
      <c r="D121" s="16">
        <v>0</v>
      </c>
      <c r="E121" s="16">
        <v>1</v>
      </c>
      <c r="F121" s="16">
        <v>1</v>
      </c>
      <c r="G121" s="16">
        <v>0</v>
      </c>
      <c r="H121" s="16">
        <v>0</v>
      </c>
      <c r="I121" s="16">
        <v>0</v>
      </c>
      <c r="J121" s="16">
        <v>1</v>
      </c>
      <c r="K121" s="16">
        <v>0</v>
      </c>
      <c r="L121" s="16">
        <v>0</v>
      </c>
      <c r="M121" s="16">
        <v>0</v>
      </c>
      <c r="N121" s="16">
        <v>2</v>
      </c>
      <c r="O121" s="16" t="s">
        <v>44</v>
      </c>
    </row>
    <row r="122" spans="1:17" x14ac:dyDescent="0.35">
      <c r="B122" s="16" t="s">
        <v>72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7</v>
      </c>
      <c r="O122" s="16" t="s">
        <v>45</v>
      </c>
    </row>
    <row r="123" spans="1:17" x14ac:dyDescent="0.35">
      <c r="B123" s="16" t="s">
        <v>18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4.5</v>
      </c>
      <c r="O123" s="16" t="s">
        <v>46</v>
      </c>
    </row>
    <row r="124" spans="1:17" x14ac:dyDescent="0.35">
      <c r="B124" s="16" t="s">
        <v>13</v>
      </c>
      <c r="D124" s="16">
        <v>3</v>
      </c>
      <c r="E124" s="16">
        <v>0</v>
      </c>
      <c r="F124" s="16">
        <v>0</v>
      </c>
      <c r="G124" s="16">
        <v>3</v>
      </c>
      <c r="H124" s="16">
        <v>0</v>
      </c>
      <c r="I124" s="16">
        <v>3</v>
      </c>
      <c r="J124" s="16">
        <v>0</v>
      </c>
      <c r="K124" s="16">
        <v>0</v>
      </c>
      <c r="L124" s="16">
        <v>0</v>
      </c>
      <c r="M124" s="16">
        <v>0</v>
      </c>
    </row>
    <row r="125" spans="1:17" x14ac:dyDescent="0.35">
      <c r="A125" s="16" t="s">
        <v>7</v>
      </c>
      <c r="B125" s="16" t="s">
        <v>11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</row>
    <row r="126" spans="1:17" x14ac:dyDescent="0.35">
      <c r="B126" s="16" t="s">
        <v>72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pans="1:17" x14ac:dyDescent="0.35">
      <c r="B127" s="16" t="s">
        <v>18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</row>
    <row r="128" spans="1:17" x14ac:dyDescent="0.35">
      <c r="B128" s="16" t="s">
        <v>13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</row>
    <row r="129" spans="1:17" x14ac:dyDescent="0.35">
      <c r="A129" s="16" t="s">
        <v>8</v>
      </c>
      <c r="B129" s="16" t="s">
        <v>11</v>
      </c>
      <c r="D129" s="16">
        <v>0</v>
      </c>
      <c r="E129" s="16">
        <v>3</v>
      </c>
      <c r="F129" s="16">
        <v>3</v>
      </c>
      <c r="G129" s="16">
        <v>0</v>
      </c>
      <c r="H129" s="16">
        <v>0</v>
      </c>
      <c r="I129" s="16">
        <v>0</v>
      </c>
      <c r="J129" s="16">
        <v>3</v>
      </c>
      <c r="K129" s="16">
        <v>0</v>
      </c>
      <c r="L129" s="16">
        <v>0</v>
      </c>
      <c r="M129" s="16">
        <v>0</v>
      </c>
    </row>
    <row r="130" spans="1:17" x14ac:dyDescent="0.35">
      <c r="B130" s="16" t="s">
        <v>72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</row>
    <row r="131" spans="1:17" x14ac:dyDescent="0.35">
      <c r="B131" s="16" t="s">
        <v>18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</row>
    <row r="132" spans="1:17" x14ac:dyDescent="0.35">
      <c r="B132" s="16" t="s">
        <v>13</v>
      </c>
      <c r="D132" s="16">
        <v>3</v>
      </c>
      <c r="E132" s="16">
        <v>5</v>
      </c>
      <c r="F132" s="16">
        <v>4</v>
      </c>
      <c r="G132" s="16">
        <v>4</v>
      </c>
      <c r="H132" s="16">
        <v>0</v>
      </c>
      <c r="I132" s="16">
        <v>8</v>
      </c>
      <c r="J132" s="16">
        <v>0</v>
      </c>
      <c r="K132" s="16">
        <v>0</v>
      </c>
      <c r="L132" s="16">
        <v>0</v>
      </c>
      <c r="M132" s="16">
        <v>0</v>
      </c>
    </row>
    <row r="133" spans="1:17" x14ac:dyDescent="0.35">
      <c r="B133" s="16" t="s">
        <v>74</v>
      </c>
      <c r="D133" s="16">
        <v>0</v>
      </c>
      <c r="E133" s="16">
        <v>1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</row>
    <row r="134" spans="1:17" x14ac:dyDescent="0.35">
      <c r="A134" s="16" t="s">
        <v>9</v>
      </c>
      <c r="B134" s="16" t="s">
        <v>11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</row>
    <row r="135" spans="1:17" x14ac:dyDescent="0.35">
      <c r="B135" s="16" t="s">
        <v>72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</row>
    <row r="136" spans="1:17" x14ac:dyDescent="0.35">
      <c r="B136" s="16" t="s">
        <v>18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</row>
    <row r="137" spans="1:17" x14ac:dyDescent="0.35">
      <c r="B137" s="16" t="s">
        <v>13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</row>
    <row r="138" spans="1:17" x14ac:dyDescent="0.35">
      <c r="B138" s="16" t="s">
        <v>74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</row>
    <row r="140" spans="1:17" x14ac:dyDescent="0.35">
      <c r="A140" s="18" t="s">
        <v>41</v>
      </c>
      <c r="B140" s="20">
        <v>44647</v>
      </c>
      <c r="C140" s="16" t="s">
        <v>42</v>
      </c>
      <c r="D140" s="16" t="s">
        <v>3</v>
      </c>
      <c r="E140" s="16" t="s">
        <v>4</v>
      </c>
      <c r="F140" s="16" t="s">
        <v>10</v>
      </c>
      <c r="G140" s="16" t="s">
        <v>17</v>
      </c>
      <c r="H140" s="16" t="s">
        <v>19</v>
      </c>
      <c r="I140" s="16" t="s">
        <v>20</v>
      </c>
      <c r="J140" s="16" t="s">
        <v>21</v>
      </c>
      <c r="K140" s="16" t="s">
        <v>22</v>
      </c>
      <c r="L140" s="16" t="s">
        <v>23</v>
      </c>
      <c r="M140" s="16" t="s">
        <v>24</v>
      </c>
      <c r="N140" s="16" t="s">
        <v>15</v>
      </c>
      <c r="P140" s="16" t="s">
        <v>28</v>
      </c>
      <c r="Q140" s="16" t="s">
        <v>29</v>
      </c>
    </row>
    <row r="141" spans="1:17" x14ac:dyDescent="0.35">
      <c r="A141" s="16" t="s">
        <v>5</v>
      </c>
      <c r="D141" s="16">
        <v>0</v>
      </c>
      <c r="E141" s="16">
        <v>0</v>
      </c>
      <c r="N141" s="16">
        <v>6</v>
      </c>
      <c r="O141" s="16" t="s">
        <v>43</v>
      </c>
      <c r="P141" s="16">
        <v>8</v>
      </c>
      <c r="Q141" s="16">
        <v>4</v>
      </c>
    </row>
    <row r="142" spans="1:17" x14ac:dyDescent="0.35">
      <c r="A142" s="16" t="s">
        <v>6</v>
      </c>
      <c r="B142" s="16" t="s">
        <v>11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3</v>
      </c>
      <c r="O142" s="16" t="s">
        <v>44</v>
      </c>
    </row>
    <row r="143" spans="1:17" x14ac:dyDescent="0.35">
      <c r="B143" s="16" t="s">
        <v>72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3</v>
      </c>
      <c r="O143" s="16" t="s">
        <v>45</v>
      </c>
    </row>
    <row r="144" spans="1:17" x14ac:dyDescent="0.35">
      <c r="B144" s="16" t="s">
        <v>18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3</v>
      </c>
      <c r="O144" s="16" t="s">
        <v>46</v>
      </c>
    </row>
    <row r="145" spans="1:13" x14ac:dyDescent="0.35">
      <c r="B145" s="16" t="s">
        <v>13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</row>
    <row r="146" spans="1:13" x14ac:dyDescent="0.35">
      <c r="A146" s="16" t="s">
        <v>7</v>
      </c>
      <c r="B146" s="16" t="s">
        <v>11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</row>
    <row r="147" spans="1:13" x14ac:dyDescent="0.35">
      <c r="B147" s="16" t="s">
        <v>72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</row>
    <row r="148" spans="1:13" x14ac:dyDescent="0.35">
      <c r="B148" s="16" t="s">
        <v>18</v>
      </c>
      <c r="D148" s="16">
        <v>1</v>
      </c>
      <c r="E148" s="16">
        <v>0</v>
      </c>
      <c r="F148" s="16">
        <v>1</v>
      </c>
      <c r="G148" s="16">
        <v>0</v>
      </c>
      <c r="H148" s="16">
        <v>0</v>
      </c>
      <c r="I148" s="16">
        <v>1</v>
      </c>
      <c r="J148" s="16">
        <v>0</v>
      </c>
      <c r="K148" s="16">
        <v>0</v>
      </c>
      <c r="L148" s="16">
        <v>0</v>
      </c>
      <c r="M148" s="16">
        <v>0</v>
      </c>
    </row>
    <row r="149" spans="1:13" x14ac:dyDescent="0.35">
      <c r="B149" s="16" t="s">
        <v>13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</row>
    <row r="150" spans="1:13" x14ac:dyDescent="0.35">
      <c r="A150" s="16" t="s">
        <v>8</v>
      </c>
      <c r="B150" s="16" t="s">
        <v>11</v>
      </c>
      <c r="D150" s="16">
        <v>0</v>
      </c>
      <c r="E150" s="16">
        <v>2</v>
      </c>
      <c r="F150" s="16">
        <v>2</v>
      </c>
      <c r="G150" s="16">
        <v>0</v>
      </c>
      <c r="H150" s="16">
        <v>0</v>
      </c>
      <c r="I150" s="16">
        <v>0</v>
      </c>
      <c r="J150" s="16">
        <v>2</v>
      </c>
      <c r="K150" s="16">
        <v>0</v>
      </c>
      <c r="L150" s="16">
        <v>0</v>
      </c>
      <c r="M150" s="16">
        <v>0</v>
      </c>
    </row>
    <row r="151" spans="1:13" x14ac:dyDescent="0.35">
      <c r="B151" s="16" t="s">
        <v>72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</row>
    <row r="152" spans="1:13" x14ac:dyDescent="0.35">
      <c r="B152" s="16" t="s">
        <v>18</v>
      </c>
      <c r="D152" s="16">
        <v>3</v>
      </c>
      <c r="E152" s="16">
        <v>4</v>
      </c>
      <c r="F152" s="16">
        <v>7</v>
      </c>
      <c r="G152" s="16">
        <v>0</v>
      </c>
      <c r="H152" s="16">
        <v>0</v>
      </c>
      <c r="I152" s="16">
        <v>7</v>
      </c>
      <c r="J152" s="16">
        <v>0</v>
      </c>
      <c r="K152" s="16">
        <v>0</v>
      </c>
      <c r="L152" s="16">
        <v>0</v>
      </c>
      <c r="M152" s="16">
        <v>0</v>
      </c>
    </row>
    <row r="153" spans="1:13" x14ac:dyDescent="0.35">
      <c r="B153" s="16" t="s">
        <v>13</v>
      </c>
      <c r="D153" s="16">
        <v>2</v>
      </c>
      <c r="E153" s="16">
        <v>0</v>
      </c>
      <c r="F153" s="16">
        <v>2</v>
      </c>
      <c r="G153" s="16">
        <v>0</v>
      </c>
      <c r="H153" s="16">
        <v>0</v>
      </c>
      <c r="I153" s="16">
        <v>1</v>
      </c>
      <c r="J153" s="16">
        <v>1</v>
      </c>
      <c r="K153" s="16">
        <v>0</v>
      </c>
      <c r="L153" s="16">
        <v>0</v>
      </c>
      <c r="M153" s="16">
        <v>0</v>
      </c>
    </row>
    <row r="154" spans="1:13" x14ac:dyDescent="0.35">
      <c r="B154" s="16" t="s">
        <v>74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</row>
    <row r="155" spans="1:13" x14ac:dyDescent="0.35">
      <c r="A155" s="16" t="s">
        <v>9</v>
      </c>
      <c r="B155" s="16" t="s">
        <v>11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</row>
    <row r="156" spans="1:13" x14ac:dyDescent="0.35">
      <c r="B156" s="16" t="s">
        <v>72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</row>
    <row r="157" spans="1:13" x14ac:dyDescent="0.35">
      <c r="B157" s="16" t="s">
        <v>18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</row>
    <row r="158" spans="1:13" x14ac:dyDescent="0.35">
      <c r="B158" s="16" t="s">
        <v>13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</row>
    <row r="159" spans="1:13" x14ac:dyDescent="0.35">
      <c r="B159" s="16" t="s">
        <v>74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</row>
    <row r="161" spans="1:17" x14ac:dyDescent="0.35">
      <c r="A161" s="18" t="s">
        <v>41</v>
      </c>
      <c r="B161" s="20">
        <v>44647</v>
      </c>
      <c r="C161" s="16" t="s">
        <v>81</v>
      </c>
      <c r="D161" s="16" t="s">
        <v>3</v>
      </c>
      <c r="E161" s="16" t="s">
        <v>4</v>
      </c>
      <c r="F161" s="16" t="s">
        <v>10</v>
      </c>
      <c r="G161" s="16" t="s">
        <v>17</v>
      </c>
      <c r="H161" s="16" t="s">
        <v>19</v>
      </c>
      <c r="I161" s="16" t="s">
        <v>20</v>
      </c>
      <c r="J161" s="16" t="s">
        <v>21</v>
      </c>
      <c r="K161" s="16" t="s">
        <v>22</v>
      </c>
      <c r="L161" s="16" t="s">
        <v>23</v>
      </c>
      <c r="M161" s="16" t="s">
        <v>24</v>
      </c>
      <c r="N161" s="16" t="s">
        <v>15</v>
      </c>
      <c r="P161" s="16" t="s">
        <v>28</v>
      </c>
      <c r="Q161" s="16" t="s">
        <v>29</v>
      </c>
    </row>
    <row r="162" spans="1:17" x14ac:dyDescent="0.35">
      <c r="A162" s="16" t="s">
        <v>5</v>
      </c>
      <c r="D162" s="16">
        <v>0</v>
      </c>
      <c r="E162" s="16">
        <v>0</v>
      </c>
      <c r="N162" s="16">
        <v>8</v>
      </c>
      <c r="O162" s="16" t="s">
        <v>43</v>
      </c>
      <c r="P162" s="16">
        <v>7</v>
      </c>
      <c r="Q162" s="16">
        <v>6</v>
      </c>
    </row>
    <row r="163" spans="1:17" x14ac:dyDescent="0.35">
      <c r="A163" s="16" t="s">
        <v>6</v>
      </c>
      <c r="B163" s="16" t="s">
        <v>11</v>
      </c>
      <c r="D163" s="16">
        <v>0</v>
      </c>
      <c r="E163" s="16">
        <v>2</v>
      </c>
      <c r="F163" s="16">
        <v>2</v>
      </c>
      <c r="G163" s="16">
        <v>0</v>
      </c>
      <c r="H163" s="16">
        <v>0</v>
      </c>
      <c r="I163" s="16">
        <v>0</v>
      </c>
      <c r="J163" s="16">
        <v>2</v>
      </c>
      <c r="K163" s="16">
        <v>0</v>
      </c>
      <c r="L163" s="16">
        <v>0</v>
      </c>
      <c r="M163" s="16">
        <v>0</v>
      </c>
      <c r="N163" s="16">
        <v>2</v>
      </c>
      <c r="O163" s="16" t="s">
        <v>44</v>
      </c>
    </row>
    <row r="164" spans="1:17" x14ac:dyDescent="0.35">
      <c r="B164" s="16" t="s">
        <v>72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4</v>
      </c>
      <c r="O164" s="16" t="s">
        <v>45</v>
      </c>
    </row>
    <row r="165" spans="1:17" x14ac:dyDescent="0.35">
      <c r="B165" s="16" t="s">
        <v>18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2.6666666666666665</v>
      </c>
      <c r="O165" s="16" t="s">
        <v>46</v>
      </c>
    </row>
    <row r="166" spans="1:17" x14ac:dyDescent="0.35">
      <c r="B166" s="16" t="s">
        <v>13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</row>
    <row r="167" spans="1:17" x14ac:dyDescent="0.35">
      <c r="A167" s="16" t="s">
        <v>7</v>
      </c>
      <c r="B167" s="16" t="s">
        <v>11</v>
      </c>
      <c r="D167" s="16">
        <v>0</v>
      </c>
      <c r="E167" s="16">
        <v>1</v>
      </c>
      <c r="F167" s="16">
        <v>1</v>
      </c>
      <c r="G167" s="16">
        <v>0</v>
      </c>
      <c r="H167" s="16">
        <v>0</v>
      </c>
      <c r="I167" s="16">
        <v>0</v>
      </c>
      <c r="J167" s="16">
        <v>1</v>
      </c>
      <c r="K167" s="16">
        <v>0</v>
      </c>
      <c r="L167" s="16">
        <v>0</v>
      </c>
      <c r="M167" s="16">
        <v>0</v>
      </c>
      <c r="O167" s="21"/>
      <c r="P167" s="21"/>
    </row>
    <row r="168" spans="1:17" x14ac:dyDescent="0.35">
      <c r="B168" s="16" t="s">
        <v>72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O168" s="21"/>
      <c r="P168" s="21"/>
    </row>
    <row r="169" spans="1:17" x14ac:dyDescent="0.35">
      <c r="B169" s="16" t="s">
        <v>18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</row>
    <row r="170" spans="1:17" x14ac:dyDescent="0.35">
      <c r="B170" s="16" t="s">
        <v>13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</row>
    <row r="171" spans="1:17" x14ac:dyDescent="0.35">
      <c r="A171" s="16" t="s">
        <v>8</v>
      </c>
      <c r="B171" s="16" t="s">
        <v>11</v>
      </c>
      <c r="D171" s="16">
        <v>0</v>
      </c>
      <c r="E171" s="16">
        <v>2</v>
      </c>
      <c r="F171" s="16">
        <v>2</v>
      </c>
      <c r="G171" s="16">
        <v>0</v>
      </c>
      <c r="H171" s="16">
        <v>0</v>
      </c>
      <c r="I171" s="16">
        <v>0</v>
      </c>
      <c r="J171" s="16">
        <v>2</v>
      </c>
      <c r="K171" s="16">
        <v>0</v>
      </c>
      <c r="L171" s="16">
        <v>0</v>
      </c>
      <c r="M171" s="16">
        <v>0</v>
      </c>
    </row>
    <row r="172" spans="1:17" x14ac:dyDescent="0.35">
      <c r="B172" s="16" t="s">
        <v>111</v>
      </c>
      <c r="D172" s="16">
        <v>2</v>
      </c>
      <c r="E172" s="16">
        <v>0</v>
      </c>
      <c r="F172" s="16">
        <v>2</v>
      </c>
      <c r="G172" s="16">
        <v>0</v>
      </c>
      <c r="H172" s="16">
        <v>2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</row>
    <row r="173" spans="1:17" x14ac:dyDescent="0.35">
      <c r="B173" s="16" t="s">
        <v>18</v>
      </c>
      <c r="D173" s="16">
        <v>2</v>
      </c>
      <c r="E173" s="16">
        <v>0</v>
      </c>
      <c r="F173" s="16">
        <v>2</v>
      </c>
      <c r="G173" s="16">
        <v>0</v>
      </c>
      <c r="H173" s="16">
        <v>0</v>
      </c>
      <c r="I173" s="16">
        <v>2</v>
      </c>
      <c r="J173" s="16">
        <v>0</v>
      </c>
      <c r="K173" s="16">
        <v>0</v>
      </c>
      <c r="L173" s="16">
        <v>0</v>
      </c>
      <c r="M173" s="16">
        <v>0</v>
      </c>
    </row>
    <row r="174" spans="1:17" x14ac:dyDescent="0.35">
      <c r="B174" s="16" t="s">
        <v>13</v>
      </c>
      <c r="D174" s="16">
        <v>1</v>
      </c>
      <c r="E174" s="16">
        <v>1</v>
      </c>
      <c r="F174" s="16">
        <v>2</v>
      </c>
      <c r="G174" s="16">
        <v>0</v>
      </c>
      <c r="H174" s="16">
        <v>0</v>
      </c>
      <c r="I174" s="16">
        <v>2</v>
      </c>
      <c r="J174" s="16">
        <v>0</v>
      </c>
      <c r="K174" s="16">
        <v>0</v>
      </c>
      <c r="L174" s="16">
        <v>0</v>
      </c>
      <c r="M174" s="16">
        <v>0</v>
      </c>
    </row>
    <row r="175" spans="1:17" x14ac:dyDescent="0.35">
      <c r="B175" s="16" t="s">
        <v>74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</row>
    <row r="176" spans="1:17" x14ac:dyDescent="0.35">
      <c r="A176" s="16" t="s">
        <v>9</v>
      </c>
      <c r="B176" s="16" t="s">
        <v>11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</row>
    <row r="177" spans="1:17" x14ac:dyDescent="0.35">
      <c r="B177" s="16" t="s">
        <v>72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</row>
    <row r="178" spans="1:17" x14ac:dyDescent="0.35">
      <c r="B178" s="16" t="s">
        <v>18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</row>
    <row r="179" spans="1:17" x14ac:dyDescent="0.35">
      <c r="B179" s="16" t="s">
        <v>13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</row>
    <row r="180" spans="1:17" x14ac:dyDescent="0.35">
      <c r="B180" s="16" t="s">
        <v>74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</row>
    <row r="182" spans="1:17" x14ac:dyDescent="0.35">
      <c r="A182" s="18" t="s">
        <v>41</v>
      </c>
      <c r="B182" s="20">
        <v>44647</v>
      </c>
      <c r="C182" s="16" t="s">
        <v>82</v>
      </c>
      <c r="D182" s="16" t="s">
        <v>3</v>
      </c>
      <c r="E182" s="16" t="s">
        <v>4</v>
      </c>
      <c r="F182" s="16" t="s">
        <v>10</v>
      </c>
      <c r="G182" s="16" t="s">
        <v>17</v>
      </c>
      <c r="H182" s="16" t="s">
        <v>19</v>
      </c>
      <c r="I182" s="16" t="s">
        <v>20</v>
      </c>
      <c r="J182" s="16" t="s">
        <v>21</v>
      </c>
      <c r="K182" s="16" t="s">
        <v>22</v>
      </c>
      <c r="L182" s="16" t="s">
        <v>23</v>
      </c>
      <c r="M182" s="16" t="s">
        <v>24</v>
      </c>
      <c r="N182" s="16" t="s">
        <v>15</v>
      </c>
      <c r="P182" s="16" t="s">
        <v>28</v>
      </c>
      <c r="Q182" s="16" t="s">
        <v>29</v>
      </c>
    </row>
    <row r="183" spans="1:17" x14ac:dyDescent="0.35">
      <c r="A183" s="16" t="s">
        <v>5</v>
      </c>
      <c r="D183" s="16">
        <v>0</v>
      </c>
      <c r="E183" s="16">
        <v>0</v>
      </c>
      <c r="N183" s="16">
        <v>16</v>
      </c>
      <c r="O183" s="16" t="s">
        <v>43</v>
      </c>
      <c r="P183" s="16">
        <v>18</v>
      </c>
      <c r="Q183" s="16">
        <v>2</v>
      </c>
    </row>
    <row r="184" spans="1:17" x14ac:dyDescent="0.35">
      <c r="A184" s="16" t="s">
        <v>6</v>
      </c>
      <c r="B184" s="16" t="s">
        <v>11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2</v>
      </c>
      <c r="O184" s="16" t="s">
        <v>44</v>
      </c>
    </row>
    <row r="185" spans="1:17" x14ac:dyDescent="0.35">
      <c r="B185" s="16" t="s">
        <v>72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6</v>
      </c>
      <c r="O185" s="16" t="s">
        <v>45</v>
      </c>
    </row>
    <row r="186" spans="1:17" x14ac:dyDescent="0.35">
      <c r="B186" s="16" t="s">
        <v>18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3.2</v>
      </c>
      <c r="O186" s="16" t="s">
        <v>46</v>
      </c>
    </row>
    <row r="187" spans="1:17" x14ac:dyDescent="0.35">
      <c r="B187" s="16" t="s">
        <v>13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</row>
    <row r="188" spans="1:17" x14ac:dyDescent="0.35">
      <c r="A188" s="16" t="s">
        <v>7</v>
      </c>
      <c r="B188" s="16" t="s">
        <v>11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</row>
    <row r="189" spans="1:17" x14ac:dyDescent="0.35">
      <c r="B189" s="16" t="s">
        <v>72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</row>
    <row r="190" spans="1:17" x14ac:dyDescent="0.35">
      <c r="B190" s="16" t="s">
        <v>18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</row>
    <row r="191" spans="1:17" x14ac:dyDescent="0.35">
      <c r="B191" s="16" t="s">
        <v>13</v>
      </c>
      <c r="D191" s="16">
        <v>3</v>
      </c>
      <c r="E191" s="16">
        <v>2</v>
      </c>
      <c r="F191" s="16">
        <v>5</v>
      </c>
      <c r="G191" s="16">
        <v>0</v>
      </c>
      <c r="H191" s="16">
        <v>0</v>
      </c>
      <c r="I191" s="16">
        <v>5</v>
      </c>
      <c r="J191" s="16">
        <v>0</v>
      </c>
      <c r="K191" s="16">
        <v>0</v>
      </c>
      <c r="L191" s="16">
        <v>0</v>
      </c>
      <c r="M191" s="16">
        <v>0</v>
      </c>
    </row>
    <row r="192" spans="1:17" x14ac:dyDescent="0.35">
      <c r="A192" s="16" t="s">
        <v>8</v>
      </c>
      <c r="B192" s="16" t="s">
        <v>11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</row>
    <row r="193" spans="1:17" x14ac:dyDescent="0.35">
      <c r="B193" s="16" t="s">
        <v>72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</row>
    <row r="194" spans="1:17" x14ac:dyDescent="0.35">
      <c r="B194" s="16" t="s">
        <v>18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</row>
    <row r="195" spans="1:17" x14ac:dyDescent="0.35">
      <c r="B195" s="16" t="s">
        <v>13</v>
      </c>
      <c r="D195" s="16">
        <v>3</v>
      </c>
      <c r="E195" s="16">
        <v>1</v>
      </c>
      <c r="F195" s="16">
        <v>4</v>
      </c>
      <c r="G195" s="16">
        <v>0</v>
      </c>
      <c r="H195" s="16">
        <v>0</v>
      </c>
      <c r="I195" s="16">
        <v>4</v>
      </c>
      <c r="J195" s="16">
        <v>0</v>
      </c>
      <c r="K195" s="16">
        <v>0</v>
      </c>
      <c r="L195" s="16">
        <v>0</v>
      </c>
      <c r="M195" s="16">
        <v>0</v>
      </c>
    </row>
    <row r="196" spans="1:17" x14ac:dyDescent="0.35">
      <c r="B196" s="16" t="s">
        <v>74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</row>
    <row r="197" spans="1:17" x14ac:dyDescent="0.35">
      <c r="A197" s="16" t="s">
        <v>9</v>
      </c>
      <c r="B197" s="16" t="s">
        <v>11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</row>
    <row r="198" spans="1:17" x14ac:dyDescent="0.35">
      <c r="B198" s="16" t="s">
        <v>72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</row>
    <row r="199" spans="1:17" x14ac:dyDescent="0.35">
      <c r="B199" s="16" t="s">
        <v>18</v>
      </c>
      <c r="D199" s="16">
        <v>0</v>
      </c>
      <c r="E199" s="16">
        <v>1</v>
      </c>
      <c r="F199" s="16">
        <v>1</v>
      </c>
      <c r="G199" s="16">
        <v>0</v>
      </c>
      <c r="H199" s="16">
        <v>0</v>
      </c>
      <c r="I199" s="16">
        <v>1</v>
      </c>
      <c r="J199" s="16">
        <v>0</v>
      </c>
      <c r="K199" s="16">
        <v>0</v>
      </c>
      <c r="L199" s="16">
        <v>0</v>
      </c>
      <c r="M199" s="16">
        <v>0</v>
      </c>
    </row>
    <row r="200" spans="1:17" x14ac:dyDescent="0.35">
      <c r="B200" s="16" t="s">
        <v>13</v>
      </c>
      <c r="D200" s="16">
        <v>5</v>
      </c>
      <c r="E200" s="16">
        <v>5</v>
      </c>
      <c r="F200" s="16">
        <v>10</v>
      </c>
      <c r="G200" s="16">
        <v>0</v>
      </c>
      <c r="H200" s="16">
        <v>0</v>
      </c>
      <c r="I200" s="16">
        <v>10</v>
      </c>
      <c r="J200" s="16">
        <v>0</v>
      </c>
      <c r="K200" s="16">
        <v>0</v>
      </c>
      <c r="L200" s="16">
        <v>0</v>
      </c>
      <c r="M200" s="16">
        <v>0</v>
      </c>
    </row>
    <row r="201" spans="1:17" x14ac:dyDescent="0.35">
      <c r="B201" s="16" t="s">
        <v>74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</row>
    <row r="203" spans="1:17" x14ac:dyDescent="0.35">
      <c r="A203" s="18" t="s">
        <v>41</v>
      </c>
      <c r="B203" s="20">
        <v>44647</v>
      </c>
      <c r="C203" s="16" t="s">
        <v>62</v>
      </c>
      <c r="D203" s="16" t="s">
        <v>3</v>
      </c>
      <c r="E203" s="16" t="s">
        <v>4</v>
      </c>
      <c r="F203" s="16" t="s">
        <v>10</v>
      </c>
      <c r="G203" s="16" t="s">
        <v>17</v>
      </c>
      <c r="H203" s="16" t="s">
        <v>19</v>
      </c>
      <c r="I203" s="16" t="s">
        <v>20</v>
      </c>
      <c r="J203" s="16" t="s">
        <v>21</v>
      </c>
      <c r="K203" s="16" t="s">
        <v>22</v>
      </c>
      <c r="L203" s="16" t="s">
        <v>23</v>
      </c>
      <c r="M203" s="16" t="s">
        <v>24</v>
      </c>
      <c r="N203" s="16" t="s">
        <v>15</v>
      </c>
      <c r="P203" s="16" t="s">
        <v>28</v>
      </c>
      <c r="Q203" s="16" t="s">
        <v>29</v>
      </c>
    </row>
    <row r="204" spans="1:17" x14ac:dyDescent="0.35">
      <c r="A204" s="16" t="s">
        <v>5</v>
      </c>
      <c r="D204" s="16">
        <v>0</v>
      </c>
      <c r="E204" s="16">
        <v>0</v>
      </c>
      <c r="N204" s="16">
        <v>3</v>
      </c>
      <c r="O204" s="16" t="s">
        <v>43</v>
      </c>
      <c r="P204" s="16">
        <v>2</v>
      </c>
      <c r="Q204" s="16">
        <v>5</v>
      </c>
    </row>
    <row r="205" spans="1:17" x14ac:dyDescent="0.35">
      <c r="A205" s="16" t="s">
        <v>6</v>
      </c>
      <c r="B205" s="16" t="s">
        <v>11</v>
      </c>
      <c r="D205" s="16">
        <v>0</v>
      </c>
      <c r="E205" s="16">
        <v>1</v>
      </c>
      <c r="F205" s="16">
        <v>1</v>
      </c>
      <c r="G205" s="16">
        <v>0</v>
      </c>
      <c r="H205" s="16">
        <v>0</v>
      </c>
      <c r="I205" s="16">
        <v>0</v>
      </c>
      <c r="J205" s="16">
        <v>1</v>
      </c>
      <c r="K205" s="16">
        <v>0</v>
      </c>
      <c r="L205" s="16">
        <v>0</v>
      </c>
      <c r="M205" s="16">
        <v>0</v>
      </c>
      <c r="N205" s="16">
        <v>3</v>
      </c>
      <c r="O205" s="16" t="s">
        <v>44</v>
      </c>
    </row>
    <row r="206" spans="1:17" x14ac:dyDescent="0.35">
      <c r="B206" s="16" t="s">
        <v>72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3</v>
      </c>
      <c r="O206" s="16" t="s">
        <v>45</v>
      </c>
    </row>
    <row r="207" spans="1:17" x14ac:dyDescent="0.35">
      <c r="B207" s="16" t="s">
        <v>18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3</v>
      </c>
      <c r="O207" s="16" t="s">
        <v>46</v>
      </c>
    </row>
    <row r="208" spans="1:17" x14ac:dyDescent="0.35">
      <c r="B208" s="16" t="s">
        <v>13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</row>
    <row r="209" spans="1:13" x14ac:dyDescent="0.35">
      <c r="A209" s="16" t="s">
        <v>7</v>
      </c>
      <c r="B209" s="16" t="s">
        <v>11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</row>
    <row r="210" spans="1:13" x14ac:dyDescent="0.35">
      <c r="B210" s="16" t="s">
        <v>72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</row>
    <row r="211" spans="1:13" x14ac:dyDescent="0.35">
      <c r="B211" s="16" t="s">
        <v>18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</row>
    <row r="212" spans="1:13" x14ac:dyDescent="0.35">
      <c r="B212" s="16" t="s">
        <v>13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</row>
    <row r="213" spans="1:13" x14ac:dyDescent="0.35">
      <c r="A213" s="16" t="s">
        <v>8</v>
      </c>
      <c r="B213" s="16" t="s">
        <v>11</v>
      </c>
      <c r="D213" s="16">
        <v>0</v>
      </c>
      <c r="E213" s="16">
        <v>3</v>
      </c>
      <c r="F213" s="16">
        <v>2</v>
      </c>
      <c r="G213" s="16">
        <v>1</v>
      </c>
      <c r="H213" s="16">
        <v>0</v>
      </c>
      <c r="I213" s="16">
        <v>0</v>
      </c>
      <c r="J213" s="16">
        <v>3</v>
      </c>
      <c r="K213" s="16">
        <v>0</v>
      </c>
      <c r="L213" s="16">
        <v>0</v>
      </c>
      <c r="M213" s="16">
        <v>0</v>
      </c>
    </row>
    <row r="214" spans="1:13" x14ac:dyDescent="0.35">
      <c r="B214" s="16" t="s">
        <v>72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</row>
    <row r="215" spans="1:13" x14ac:dyDescent="0.35">
      <c r="B215" s="16" t="s">
        <v>18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</row>
    <row r="216" spans="1:13" x14ac:dyDescent="0.35">
      <c r="B216" s="16" t="s">
        <v>13</v>
      </c>
      <c r="D216" s="16">
        <v>1</v>
      </c>
      <c r="E216" s="16">
        <v>2</v>
      </c>
      <c r="F216" s="16">
        <v>3</v>
      </c>
      <c r="G216" s="16">
        <v>0</v>
      </c>
      <c r="H216" s="16">
        <v>0</v>
      </c>
      <c r="I216" s="16">
        <v>3</v>
      </c>
      <c r="J216" s="16">
        <v>0</v>
      </c>
      <c r="K216" s="16">
        <v>0</v>
      </c>
      <c r="L216" s="16">
        <v>0</v>
      </c>
      <c r="M216" s="16">
        <v>0</v>
      </c>
    </row>
    <row r="217" spans="1:13" x14ac:dyDescent="0.35">
      <c r="B217" s="16" t="s">
        <v>74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</row>
    <row r="218" spans="1:13" x14ac:dyDescent="0.35">
      <c r="A218" s="16" t="s">
        <v>9</v>
      </c>
      <c r="B218" s="16" t="s">
        <v>11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</row>
    <row r="219" spans="1:13" x14ac:dyDescent="0.35">
      <c r="B219" s="16" t="s">
        <v>72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</row>
    <row r="220" spans="1:13" x14ac:dyDescent="0.35">
      <c r="B220" s="16" t="s">
        <v>18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</row>
    <row r="221" spans="1:13" x14ac:dyDescent="0.35">
      <c r="B221" s="16" t="s">
        <v>13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</row>
    <row r="222" spans="1:13" x14ac:dyDescent="0.35">
      <c r="B222" s="16" t="s">
        <v>74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</row>
  </sheetData>
  <mergeCells count="3">
    <mergeCell ref="AJ1:AN1"/>
    <mergeCell ref="S34:AA34"/>
    <mergeCell ref="AB34:AE3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FF12A-6BE7-40FD-8AE0-7AC9909F083E}">
  <sheetPr>
    <tabColor theme="7"/>
  </sheetPr>
  <dimension ref="A1:AN222"/>
  <sheetViews>
    <sheetView zoomScale="70" zoomScaleNormal="70" workbookViewId="0">
      <selection activeCell="I45" sqref="I45"/>
    </sheetView>
  </sheetViews>
  <sheetFormatPr defaultRowHeight="14.5" x14ac:dyDescent="0.35"/>
  <cols>
    <col min="1" max="1" width="23.26953125" style="16" bestFit="1" customWidth="1"/>
    <col min="2" max="2" width="20" style="16" bestFit="1" customWidth="1"/>
    <col min="3" max="3" width="32.26953125" style="16" bestFit="1" customWidth="1"/>
    <col min="4" max="4" width="10.453125" style="16" bestFit="1" customWidth="1"/>
    <col min="5" max="5" width="8" style="16" bestFit="1" customWidth="1"/>
    <col min="6" max="6" width="8.81640625" style="16" bestFit="1" customWidth="1"/>
    <col min="7" max="7" width="21.08984375" style="16" bestFit="1" customWidth="1"/>
    <col min="8" max="8" width="14.26953125" style="16" bestFit="1" customWidth="1"/>
    <col min="9" max="9" width="11.26953125" style="16" bestFit="1" customWidth="1"/>
    <col min="10" max="10" width="12.08984375" style="16" bestFit="1" customWidth="1"/>
    <col min="11" max="11" width="18.36328125" style="16" bestFit="1" customWidth="1"/>
    <col min="12" max="12" width="15.6328125" style="16" bestFit="1" customWidth="1"/>
    <col min="13" max="13" width="26" style="16" bestFit="1" customWidth="1"/>
    <col min="14" max="14" width="13.1796875" style="16" bestFit="1" customWidth="1"/>
    <col min="15" max="15" width="5.26953125" style="16" bestFit="1" customWidth="1"/>
    <col min="16" max="16" width="3.90625" style="16" bestFit="1" customWidth="1"/>
    <col min="17" max="17" width="3.6328125" style="16" bestFit="1" customWidth="1"/>
    <col min="18" max="18" width="15.54296875" style="16" bestFit="1" customWidth="1"/>
    <col min="19" max="19" width="17.26953125" style="16" bestFit="1" customWidth="1"/>
    <col min="20" max="20" width="11.54296875" style="16" bestFit="1" customWidth="1"/>
    <col min="21" max="21" width="11.81640625" style="16" bestFit="1" customWidth="1"/>
    <col min="22" max="22" width="8" style="16" bestFit="1" customWidth="1"/>
    <col min="23" max="23" width="16.453125" style="16" bestFit="1" customWidth="1"/>
    <col min="24" max="24" width="10.1796875" style="16" bestFit="1" customWidth="1"/>
    <col min="25" max="25" width="9.36328125" style="16" bestFit="1" customWidth="1"/>
    <col min="26" max="26" width="16.453125" style="16" bestFit="1" customWidth="1"/>
    <col min="27" max="27" width="8.81640625" style="16" bestFit="1" customWidth="1"/>
    <col min="28" max="35" width="8.7265625" style="16"/>
    <col min="36" max="36" width="44.26953125" style="16" bestFit="1" customWidth="1"/>
    <col min="37" max="37" width="39.90625" style="16" bestFit="1" customWidth="1"/>
    <col min="38" max="38" width="42.90625" style="16" bestFit="1" customWidth="1"/>
    <col min="39" max="39" width="43.453125" style="16" bestFit="1" customWidth="1"/>
    <col min="40" max="40" width="39.90625" style="16" bestFit="1" customWidth="1"/>
    <col min="41" max="16384" width="8.7265625" style="16"/>
  </cols>
  <sheetData>
    <row r="1" spans="1:40" ht="58" customHeight="1" x14ac:dyDescent="0.35">
      <c r="A1" s="51" t="s">
        <v>133</v>
      </c>
      <c r="B1" s="13"/>
      <c r="C1" s="13"/>
      <c r="D1" s="35" t="s">
        <v>3</v>
      </c>
      <c r="E1" s="35" t="s">
        <v>4</v>
      </c>
      <c r="F1" s="35" t="s">
        <v>10</v>
      </c>
      <c r="G1" s="35" t="s">
        <v>17</v>
      </c>
      <c r="H1" s="35" t="s">
        <v>19</v>
      </c>
      <c r="I1" s="35" t="s">
        <v>20</v>
      </c>
      <c r="J1" s="35" t="s">
        <v>21</v>
      </c>
      <c r="K1" s="35" t="s">
        <v>22</v>
      </c>
      <c r="L1" s="35" t="s">
        <v>23</v>
      </c>
      <c r="M1" s="35" t="s">
        <v>24</v>
      </c>
      <c r="N1" s="53"/>
      <c r="O1" s="53"/>
      <c r="P1" s="53"/>
      <c r="Q1" s="53"/>
      <c r="AJ1" s="94" t="s">
        <v>122</v>
      </c>
      <c r="AK1" s="95"/>
      <c r="AL1" s="95"/>
      <c r="AM1" s="95"/>
      <c r="AN1" s="96"/>
    </row>
    <row r="2" spans="1:40" x14ac:dyDescent="0.35">
      <c r="A2" s="36"/>
      <c r="B2" s="36"/>
      <c r="C2" s="63" t="s">
        <v>68</v>
      </c>
      <c r="D2" s="37">
        <f>(SUM(D37:D54)/($N$54-$C$36))</f>
        <v>0.46413502109704641</v>
      </c>
      <c r="E2" s="37">
        <f t="shared" ref="E2:M2" si="0">(SUM(E37:E54)/($N$54-$C$36))</f>
        <v>0.53586497890295359</v>
      </c>
      <c r="F2" s="37">
        <f t="shared" si="0"/>
        <v>0.95358649789029537</v>
      </c>
      <c r="G2" s="37">
        <f t="shared" si="0"/>
        <v>4.6413502109704644E-2</v>
      </c>
      <c r="H2" s="37">
        <f t="shared" si="0"/>
        <v>0</v>
      </c>
      <c r="I2" s="37">
        <f t="shared" si="0"/>
        <v>0.77637130801687759</v>
      </c>
      <c r="J2" s="37">
        <f t="shared" si="0"/>
        <v>0.22362869198312235</v>
      </c>
      <c r="K2" s="37">
        <f t="shared" si="0"/>
        <v>0</v>
      </c>
      <c r="L2" s="37">
        <f t="shared" si="0"/>
        <v>0</v>
      </c>
      <c r="M2" s="37">
        <f t="shared" si="0"/>
        <v>1.6877637130801686E-2</v>
      </c>
      <c r="N2" s="53"/>
      <c r="O2" s="53"/>
      <c r="P2" s="53"/>
      <c r="Q2" s="53"/>
      <c r="AJ2" s="16" t="s">
        <v>108</v>
      </c>
      <c r="AK2" s="16" t="s">
        <v>86</v>
      </c>
      <c r="AL2" s="16" t="s">
        <v>109</v>
      </c>
      <c r="AM2" s="16" t="s">
        <v>110</v>
      </c>
      <c r="AN2" s="16" t="s">
        <v>86</v>
      </c>
    </row>
    <row r="3" spans="1:40" x14ac:dyDescent="0.35">
      <c r="A3" s="36"/>
      <c r="B3" s="36"/>
      <c r="C3" s="63" t="s">
        <v>67</v>
      </c>
      <c r="D3" s="38">
        <f>SUM(D37:D54)</f>
        <v>110</v>
      </c>
      <c r="E3" s="38">
        <f t="shared" ref="E3:M3" si="1">SUM(E37:E54)</f>
        <v>127</v>
      </c>
      <c r="F3" s="38">
        <f t="shared" si="1"/>
        <v>226</v>
      </c>
      <c r="G3" s="38">
        <f t="shared" si="1"/>
        <v>11</v>
      </c>
      <c r="H3" s="38">
        <f t="shared" si="1"/>
        <v>0</v>
      </c>
      <c r="I3" s="38">
        <f t="shared" si="1"/>
        <v>184</v>
      </c>
      <c r="J3" s="38">
        <f t="shared" si="1"/>
        <v>53</v>
      </c>
      <c r="K3" s="38">
        <f t="shared" si="1"/>
        <v>0</v>
      </c>
      <c r="L3" s="38">
        <f t="shared" si="1"/>
        <v>0</v>
      </c>
      <c r="M3" s="38">
        <f t="shared" si="1"/>
        <v>4</v>
      </c>
      <c r="N3" s="53"/>
      <c r="O3" s="53"/>
      <c r="P3" s="53"/>
      <c r="Q3" s="53"/>
    </row>
    <row r="4" spans="1:40" x14ac:dyDescent="0.35">
      <c r="A4" s="39" t="s">
        <v>68</v>
      </c>
      <c r="B4" s="40" t="s">
        <v>73</v>
      </c>
      <c r="C4" s="39">
        <f>C9/($N$54-$C$36)</f>
        <v>0.14767932489451477</v>
      </c>
      <c r="D4" s="39">
        <f>D9/(D9+E9)</f>
        <v>0.34285714285714286</v>
      </c>
      <c r="E4" s="39">
        <f>E9/(D9+E9)</f>
        <v>0.65714285714285714</v>
      </c>
      <c r="F4" s="39">
        <f>F9/(F9+G9)</f>
        <v>1</v>
      </c>
      <c r="G4" s="39">
        <f>G9/(F9+G9)</f>
        <v>0</v>
      </c>
      <c r="H4" s="39">
        <f>H9/(H9+I9+J9)</f>
        <v>0</v>
      </c>
      <c r="I4" s="41">
        <f>I9/(H9+I9+J9)</f>
        <v>0</v>
      </c>
      <c r="J4" s="39">
        <f>J9/(H9+I9+J9)</f>
        <v>1</v>
      </c>
      <c r="K4" s="39">
        <f>K9/C9</f>
        <v>0</v>
      </c>
      <c r="L4" s="39">
        <f>L9/C9</f>
        <v>0</v>
      </c>
      <c r="M4" s="41"/>
      <c r="N4" s="53"/>
      <c r="O4" s="53"/>
      <c r="P4" s="53"/>
      <c r="Q4" s="53"/>
    </row>
    <row r="5" spans="1:40" x14ac:dyDescent="0.35">
      <c r="A5" s="39"/>
      <c r="B5" s="40" t="s">
        <v>72</v>
      </c>
      <c r="C5" s="39">
        <f>C10/($N$54-$C$36)</f>
        <v>0</v>
      </c>
      <c r="D5" s="39" t="e">
        <f>D10/(D10+E10)</f>
        <v>#DIV/0!</v>
      </c>
      <c r="E5" s="39" t="e">
        <f>E10/(D10+E10)</f>
        <v>#DIV/0!</v>
      </c>
      <c r="F5" s="39" t="e">
        <f>F10/(F10+G10)</f>
        <v>#DIV/0!</v>
      </c>
      <c r="G5" s="39"/>
      <c r="H5" s="39"/>
      <c r="I5" s="41"/>
      <c r="J5" s="39"/>
      <c r="K5" s="39"/>
      <c r="L5" s="39"/>
      <c r="M5" s="41"/>
      <c r="N5" s="53"/>
      <c r="O5" s="53"/>
      <c r="P5" s="53"/>
      <c r="Q5" s="53"/>
    </row>
    <row r="6" spans="1:40" x14ac:dyDescent="0.35">
      <c r="A6" s="39"/>
      <c r="B6" s="40" t="s">
        <v>18</v>
      </c>
      <c r="C6" s="39">
        <f t="shared" ref="C6:C8" si="2">C11/($N$54-$C$36)</f>
        <v>0.32911392405063289</v>
      </c>
      <c r="D6" s="39">
        <f>D11/(D11+E11)</f>
        <v>0.51282051282051277</v>
      </c>
      <c r="E6" s="39">
        <f t="shared" ref="E6:E8" si="3">E11/(D11+E11)</f>
        <v>0.48717948717948717</v>
      </c>
      <c r="F6" s="39">
        <f t="shared" ref="F6:F8" si="4">F11/(F11+G11)</f>
        <v>0.98717948717948723</v>
      </c>
      <c r="G6" s="39">
        <f t="shared" ref="G6:G8" si="5">G11/(F11+G11)</f>
        <v>1.282051282051282E-2</v>
      </c>
      <c r="H6" s="39">
        <f t="shared" ref="H6:H8" si="6">H11/(H11+I11+J11)</f>
        <v>0</v>
      </c>
      <c r="I6" s="39">
        <f t="shared" ref="I6:I8" si="7">I11/(H11+I11+J11)</f>
        <v>1</v>
      </c>
      <c r="J6" s="39">
        <f t="shared" ref="J6:J8" si="8">J11/(H11+I11+J11)</f>
        <v>0</v>
      </c>
      <c r="K6" s="39">
        <f t="shared" ref="K6:K8" si="9">K11/C11</f>
        <v>0</v>
      </c>
      <c r="L6" s="39">
        <f t="shared" ref="L6:L8" si="10">L11/C11</f>
        <v>0</v>
      </c>
      <c r="M6" s="41"/>
      <c r="N6" s="53"/>
      <c r="O6" s="53"/>
      <c r="P6" s="53"/>
      <c r="Q6" s="53"/>
    </row>
    <row r="7" spans="1:40" x14ac:dyDescent="0.35">
      <c r="A7" s="40"/>
      <c r="B7" s="40" t="s">
        <v>75</v>
      </c>
      <c r="C7" s="39">
        <f t="shared" si="2"/>
        <v>0.52320675105485237</v>
      </c>
      <c r="D7" s="39">
        <f t="shared" ref="D7:D8" si="11">D12/(D12+E12)</f>
        <v>0.46774193548387094</v>
      </c>
      <c r="E7" s="39">
        <f t="shared" si="3"/>
        <v>0.532258064516129</v>
      </c>
      <c r="F7" s="39">
        <f t="shared" si="4"/>
        <v>0.91935483870967738</v>
      </c>
      <c r="G7" s="39">
        <f t="shared" si="5"/>
        <v>8.0645161290322578E-2</v>
      </c>
      <c r="H7" s="39">
        <f t="shared" si="6"/>
        <v>0</v>
      </c>
      <c r="I7" s="39">
        <f t="shared" si="7"/>
        <v>0.85483870967741937</v>
      </c>
      <c r="J7" s="39">
        <f t="shared" si="8"/>
        <v>0.14516129032258066</v>
      </c>
      <c r="K7" s="39">
        <f t="shared" si="9"/>
        <v>0</v>
      </c>
      <c r="L7" s="39">
        <f t="shared" si="10"/>
        <v>0</v>
      </c>
      <c r="M7" s="41"/>
      <c r="N7" s="53"/>
      <c r="O7" s="53"/>
      <c r="P7" s="53"/>
      <c r="Q7" s="53"/>
    </row>
    <row r="8" spans="1:40" x14ac:dyDescent="0.35">
      <c r="A8" s="40"/>
      <c r="B8" s="40" t="s">
        <v>74</v>
      </c>
      <c r="C8" s="39">
        <f t="shared" si="2"/>
        <v>0</v>
      </c>
      <c r="D8" s="39" t="e">
        <f t="shared" si="11"/>
        <v>#DIV/0!</v>
      </c>
      <c r="E8" s="39" t="e">
        <f t="shared" si="3"/>
        <v>#DIV/0!</v>
      </c>
      <c r="F8" s="39" t="e">
        <f t="shared" si="4"/>
        <v>#DIV/0!</v>
      </c>
      <c r="G8" s="39" t="e">
        <f t="shared" si="5"/>
        <v>#DIV/0!</v>
      </c>
      <c r="H8" s="39" t="e">
        <f t="shared" si="6"/>
        <v>#DIV/0!</v>
      </c>
      <c r="I8" s="39" t="e">
        <f t="shared" si="7"/>
        <v>#DIV/0!</v>
      </c>
      <c r="J8" s="39" t="e">
        <f t="shared" si="8"/>
        <v>#DIV/0!</v>
      </c>
      <c r="K8" s="39" t="e">
        <f t="shared" si="9"/>
        <v>#DIV/0!</v>
      </c>
      <c r="L8" s="39" t="e">
        <f t="shared" si="10"/>
        <v>#DIV/0!</v>
      </c>
      <c r="M8" s="41"/>
      <c r="N8" s="53"/>
      <c r="O8" s="53"/>
      <c r="P8" s="53"/>
      <c r="Q8" s="53"/>
    </row>
    <row r="9" spans="1:40" x14ac:dyDescent="0.35">
      <c r="A9" s="42" t="s">
        <v>67</v>
      </c>
      <c r="B9" s="43" t="s">
        <v>11</v>
      </c>
      <c r="C9" s="44">
        <f>D9+E9</f>
        <v>35</v>
      </c>
      <c r="D9" s="45">
        <f>D16+D20+D24+D29</f>
        <v>12</v>
      </c>
      <c r="E9" s="45">
        <f t="shared" ref="E9:M9" si="12">E16+E20+E24+E29</f>
        <v>23</v>
      </c>
      <c r="F9" s="45">
        <f t="shared" si="12"/>
        <v>35</v>
      </c>
      <c r="G9" s="45">
        <f t="shared" si="12"/>
        <v>0</v>
      </c>
      <c r="H9" s="45">
        <f t="shared" si="12"/>
        <v>0</v>
      </c>
      <c r="I9" s="45">
        <f t="shared" si="12"/>
        <v>0</v>
      </c>
      <c r="J9" s="45">
        <f t="shared" si="12"/>
        <v>35</v>
      </c>
      <c r="K9" s="45">
        <f t="shared" si="12"/>
        <v>0</v>
      </c>
      <c r="L9" s="45">
        <f t="shared" si="12"/>
        <v>0</v>
      </c>
      <c r="M9" s="45">
        <f t="shared" si="12"/>
        <v>0</v>
      </c>
      <c r="N9" s="53"/>
      <c r="O9" s="53"/>
      <c r="P9" s="53"/>
      <c r="Q9" s="53"/>
    </row>
    <row r="10" spans="1:40" x14ac:dyDescent="0.35">
      <c r="A10" s="42"/>
      <c r="B10" s="43" t="s">
        <v>72</v>
      </c>
      <c r="C10" s="44">
        <f t="shared" ref="C10:C13" si="13">D10+E10</f>
        <v>0</v>
      </c>
      <c r="D10" s="45">
        <f t="shared" ref="D10:M12" si="14">D17+D21+D25+D30</f>
        <v>0</v>
      </c>
      <c r="E10" s="45">
        <f t="shared" si="14"/>
        <v>0</v>
      </c>
      <c r="F10" s="45">
        <f t="shared" si="14"/>
        <v>0</v>
      </c>
      <c r="G10" s="45">
        <f t="shared" si="14"/>
        <v>0</v>
      </c>
      <c r="H10" s="45">
        <f t="shared" si="14"/>
        <v>0</v>
      </c>
      <c r="I10" s="45">
        <f t="shared" si="14"/>
        <v>0</v>
      </c>
      <c r="J10" s="45">
        <f t="shared" si="14"/>
        <v>0</v>
      </c>
      <c r="K10" s="45">
        <f t="shared" si="14"/>
        <v>0</v>
      </c>
      <c r="L10" s="45">
        <f t="shared" si="14"/>
        <v>0</v>
      </c>
      <c r="M10" s="45">
        <f t="shared" si="14"/>
        <v>0</v>
      </c>
      <c r="N10" s="53"/>
      <c r="O10" s="53"/>
      <c r="P10" s="53"/>
      <c r="Q10" s="53"/>
    </row>
    <row r="11" spans="1:40" x14ac:dyDescent="0.35">
      <c r="A11" s="42"/>
      <c r="B11" s="43" t="s">
        <v>18</v>
      </c>
      <c r="C11" s="44">
        <f t="shared" si="13"/>
        <v>78</v>
      </c>
      <c r="D11" s="45">
        <f t="shared" si="14"/>
        <v>40</v>
      </c>
      <c r="E11" s="45">
        <f t="shared" si="14"/>
        <v>38</v>
      </c>
      <c r="F11" s="45">
        <f t="shared" si="14"/>
        <v>77</v>
      </c>
      <c r="G11" s="45">
        <f t="shared" si="14"/>
        <v>1</v>
      </c>
      <c r="H11" s="45">
        <f t="shared" si="14"/>
        <v>0</v>
      </c>
      <c r="I11" s="45">
        <f t="shared" si="14"/>
        <v>78</v>
      </c>
      <c r="J11" s="45">
        <f t="shared" si="14"/>
        <v>0</v>
      </c>
      <c r="K11" s="45">
        <f t="shared" si="14"/>
        <v>0</v>
      </c>
      <c r="L11" s="45">
        <f t="shared" si="14"/>
        <v>0</v>
      </c>
      <c r="M11" s="45">
        <f t="shared" si="14"/>
        <v>2</v>
      </c>
      <c r="N11" s="53"/>
      <c r="O11" s="53"/>
      <c r="P11" s="53"/>
      <c r="Q11" s="53"/>
    </row>
    <row r="12" spans="1:40" x14ac:dyDescent="0.35">
      <c r="A12" s="43"/>
      <c r="B12" s="43" t="s">
        <v>13</v>
      </c>
      <c r="C12" s="44">
        <f t="shared" si="13"/>
        <v>124</v>
      </c>
      <c r="D12" s="45">
        <f t="shared" si="14"/>
        <v>58</v>
      </c>
      <c r="E12" s="45">
        <f t="shared" si="14"/>
        <v>66</v>
      </c>
      <c r="F12" s="45">
        <f t="shared" si="14"/>
        <v>114</v>
      </c>
      <c r="G12" s="45">
        <f t="shared" si="14"/>
        <v>10</v>
      </c>
      <c r="H12" s="45">
        <f t="shared" si="14"/>
        <v>0</v>
      </c>
      <c r="I12" s="45">
        <f t="shared" si="14"/>
        <v>106</v>
      </c>
      <c r="J12" s="45">
        <f t="shared" si="14"/>
        <v>18</v>
      </c>
      <c r="K12" s="45">
        <f t="shared" si="14"/>
        <v>0</v>
      </c>
      <c r="L12" s="45">
        <f t="shared" si="14"/>
        <v>0</v>
      </c>
      <c r="M12" s="45">
        <f t="shared" si="14"/>
        <v>2</v>
      </c>
      <c r="N12" s="53"/>
      <c r="O12" s="53"/>
      <c r="P12" s="53"/>
      <c r="Q12" s="53"/>
    </row>
    <row r="13" spans="1:40" x14ac:dyDescent="0.35">
      <c r="A13" s="43"/>
      <c r="B13" s="43" t="s">
        <v>74</v>
      </c>
      <c r="C13" s="44">
        <f t="shared" si="13"/>
        <v>0</v>
      </c>
      <c r="D13" s="45">
        <f>D28+D33</f>
        <v>0</v>
      </c>
      <c r="E13" s="45">
        <f t="shared" ref="E13:M13" si="15">E28+E33</f>
        <v>0</v>
      </c>
      <c r="F13" s="45">
        <f t="shared" si="15"/>
        <v>0</v>
      </c>
      <c r="G13" s="45">
        <f t="shared" si="15"/>
        <v>0</v>
      </c>
      <c r="H13" s="45">
        <f t="shared" si="15"/>
        <v>0</v>
      </c>
      <c r="I13" s="45">
        <f t="shared" si="15"/>
        <v>0</v>
      </c>
      <c r="J13" s="45">
        <f t="shared" si="15"/>
        <v>0</v>
      </c>
      <c r="K13" s="45">
        <f t="shared" si="15"/>
        <v>0</v>
      </c>
      <c r="L13" s="45">
        <f t="shared" si="15"/>
        <v>0</v>
      </c>
      <c r="M13" s="45">
        <f t="shared" si="15"/>
        <v>0</v>
      </c>
      <c r="N13" s="53"/>
      <c r="O13" s="53"/>
      <c r="P13" s="53"/>
      <c r="Q13" s="53"/>
    </row>
    <row r="14" spans="1:40" x14ac:dyDescent="0.35">
      <c r="A14" s="13" t="s">
        <v>5</v>
      </c>
      <c r="B14" s="13"/>
      <c r="C14" s="50" t="s">
        <v>132</v>
      </c>
      <c r="D14" s="35" t="s">
        <v>3</v>
      </c>
      <c r="E14" s="35" t="s">
        <v>4</v>
      </c>
      <c r="F14" s="35" t="s">
        <v>10</v>
      </c>
      <c r="G14" s="35" t="s">
        <v>17</v>
      </c>
      <c r="H14" s="35" t="s">
        <v>19</v>
      </c>
      <c r="I14" s="35" t="s">
        <v>20</v>
      </c>
      <c r="J14" s="35" t="s">
        <v>21</v>
      </c>
      <c r="K14" s="35" t="s">
        <v>22</v>
      </c>
      <c r="L14" s="35" t="s">
        <v>23</v>
      </c>
      <c r="M14" s="35" t="s">
        <v>24</v>
      </c>
      <c r="N14" s="53"/>
      <c r="O14" s="53"/>
      <c r="P14" s="53"/>
      <c r="Q14" s="53"/>
    </row>
    <row r="15" spans="1:40" x14ac:dyDescent="0.35">
      <c r="A15" s="14">
        <f>C36/$N$54</f>
        <v>3.2653061224489799E-2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53"/>
      <c r="O15" s="53"/>
      <c r="P15" s="53"/>
      <c r="Q15" s="53"/>
    </row>
    <row r="16" spans="1:40" x14ac:dyDescent="0.35">
      <c r="A16" s="43" t="s">
        <v>6</v>
      </c>
      <c r="B16" s="43" t="s">
        <v>11</v>
      </c>
      <c r="C16" s="43" t="s">
        <v>131</v>
      </c>
      <c r="D16" s="43">
        <f>D37</f>
        <v>4</v>
      </c>
      <c r="E16" s="43">
        <f t="shared" ref="E16:M16" si="16">E37</f>
        <v>7</v>
      </c>
      <c r="F16" s="43">
        <f t="shared" si="16"/>
        <v>11</v>
      </c>
      <c r="G16" s="43">
        <f t="shared" si="16"/>
        <v>0</v>
      </c>
      <c r="H16" s="43">
        <f t="shared" si="16"/>
        <v>0</v>
      </c>
      <c r="I16" s="43">
        <f t="shared" si="16"/>
        <v>0</v>
      </c>
      <c r="J16" s="43">
        <f t="shared" si="16"/>
        <v>11</v>
      </c>
      <c r="K16" s="43">
        <f t="shared" si="16"/>
        <v>0</v>
      </c>
      <c r="L16" s="43">
        <f t="shared" si="16"/>
        <v>0</v>
      </c>
      <c r="M16" s="43">
        <f t="shared" si="16"/>
        <v>0</v>
      </c>
      <c r="N16" s="53"/>
      <c r="O16" s="53"/>
      <c r="P16" s="53"/>
      <c r="Q16" s="53"/>
    </row>
    <row r="17" spans="1:17" x14ac:dyDescent="0.35">
      <c r="A17" s="42">
        <f>(D37+E37+D38+E38+D39+E39+D40+E40)/N54</f>
        <v>0.13877551020408163</v>
      </c>
      <c r="B17" s="43" t="s">
        <v>72</v>
      </c>
      <c r="C17" s="43" t="s">
        <v>131</v>
      </c>
      <c r="D17" s="43">
        <f t="shared" ref="D17:M32" si="17">D38</f>
        <v>0</v>
      </c>
      <c r="E17" s="43">
        <f t="shared" si="17"/>
        <v>0</v>
      </c>
      <c r="F17" s="43">
        <f t="shared" si="17"/>
        <v>0</v>
      </c>
      <c r="G17" s="43">
        <f t="shared" si="17"/>
        <v>0</v>
      </c>
      <c r="H17" s="43">
        <f t="shared" si="17"/>
        <v>0</v>
      </c>
      <c r="I17" s="43">
        <f t="shared" si="17"/>
        <v>0</v>
      </c>
      <c r="J17" s="43">
        <f t="shared" si="17"/>
        <v>0</v>
      </c>
      <c r="K17" s="43">
        <f t="shared" si="17"/>
        <v>0</v>
      </c>
      <c r="L17" s="43">
        <f t="shared" si="17"/>
        <v>0</v>
      </c>
      <c r="M17" s="43">
        <f t="shared" si="17"/>
        <v>0</v>
      </c>
      <c r="N17" s="53"/>
      <c r="O17" s="53"/>
      <c r="P17" s="53"/>
      <c r="Q17" s="53"/>
    </row>
    <row r="18" spans="1:17" x14ac:dyDescent="0.35">
      <c r="A18" s="43"/>
      <c r="B18" s="43" t="s">
        <v>18</v>
      </c>
      <c r="C18" s="43" t="s">
        <v>131</v>
      </c>
      <c r="D18" s="43">
        <f t="shared" si="17"/>
        <v>5</v>
      </c>
      <c r="E18" s="43">
        <f t="shared" si="17"/>
        <v>4</v>
      </c>
      <c r="F18" s="43">
        <f t="shared" si="17"/>
        <v>9</v>
      </c>
      <c r="G18" s="43">
        <f t="shared" si="17"/>
        <v>0</v>
      </c>
      <c r="H18" s="43">
        <f t="shared" si="17"/>
        <v>0</v>
      </c>
      <c r="I18" s="43">
        <f t="shared" si="17"/>
        <v>9</v>
      </c>
      <c r="J18" s="43">
        <f t="shared" si="17"/>
        <v>0</v>
      </c>
      <c r="K18" s="43">
        <f t="shared" si="17"/>
        <v>0</v>
      </c>
      <c r="L18" s="43">
        <f t="shared" si="17"/>
        <v>0</v>
      </c>
      <c r="M18" s="43">
        <f t="shared" si="17"/>
        <v>2</v>
      </c>
      <c r="N18" s="53"/>
      <c r="O18" s="53"/>
      <c r="P18" s="53"/>
      <c r="Q18" s="53"/>
    </row>
    <row r="19" spans="1:17" x14ac:dyDescent="0.35">
      <c r="A19" s="43"/>
      <c r="B19" s="43" t="s">
        <v>13</v>
      </c>
      <c r="C19" s="43" t="s">
        <v>131</v>
      </c>
      <c r="D19" s="43">
        <f t="shared" si="17"/>
        <v>9</v>
      </c>
      <c r="E19" s="43">
        <f t="shared" si="17"/>
        <v>5</v>
      </c>
      <c r="F19" s="43">
        <f t="shared" si="17"/>
        <v>12</v>
      </c>
      <c r="G19" s="43">
        <f t="shared" si="17"/>
        <v>2</v>
      </c>
      <c r="H19" s="43">
        <f t="shared" si="17"/>
        <v>0</v>
      </c>
      <c r="I19" s="43">
        <f t="shared" si="17"/>
        <v>14</v>
      </c>
      <c r="J19" s="43">
        <f t="shared" si="17"/>
        <v>0</v>
      </c>
      <c r="K19" s="43">
        <f t="shared" si="17"/>
        <v>0</v>
      </c>
      <c r="L19" s="43">
        <f t="shared" si="17"/>
        <v>0</v>
      </c>
      <c r="M19" s="43">
        <f t="shared" si="17"/>
        <v>1</v>
      </c>
      <c r="N19" s="53"/>
      <c r="O19" s="53"/>
      <c r="P19" s="53"/>
      <c r="Q19" s="53"/>
    </row>
    <row r="20" spans="1:17" x14ac:dyDescent="0.35">
      <c r="A20" s="46" t="s">
        <v>7</v>
      </c>
      <c r="B20" s="46" t="s">
        <v>11</v>
      </c>
      <c r="C20" s="46" t="s">
        <v>131</v>
      </c>
      <c r="D20" s="46">
        <f t="shared" si="17"/>
        <v>2</v>
      </c>
      <c r="E20" s="46">
        <f t="shared" si="17"/>
        <v>3</v>
      </c>
      <c r="F20" s="46">
        <f t="shared" si="17"/>
        <v>5</v>
      </c>
      <c r="G20" s="46">
        <f t="shared" si="17"/>
        <v>0</v>
      </c>
      <c r="H20" s="46">
        <f t="shared" si="17"/>
        <v>0</v>
      </c>
      <c r="I20" s="46">
        <f t="shared" si="17"/>
        <v>0</v>
      </c>
      <c r="J20" s="46">
        <f t="shared" si="17"/>
        <v>5</v>
      </c>
      <c r="K20" s="46">
        <f t="shared" si="17"/>
        <v>0</v>
      </c>
      <c r="L20" s="46">
        <f t="shared" si="17"/>
        <v>0</v>
      </c>
      <c r="M20" s="46">
        <f t="shared" si="17"/>
        <v>0</v>
      </c>
      <c r="N20" s="53"/>
      <c r="O20" s="53"/>
      <c r="P20" s="53"/>
      <c r="Q20" s="53"/>
    </row>
    <row r="21" spans="1:17" x14ac:dyDescent="0.35">
      <c r="A21" s="47">
        <f>(D41+E41+D42+E42+D43+E43+D44+E44)/N54</f>
        <v>8.1632653061224483E-2</v>
      </c>
      <c r="B21" s="46" t="s">
        <v>72</v>
      </c>
      <c r="C21" s="46" t="s">
        <v>131</v>
      </c>
      <c r="D21" s="46">
        <f t="shared" si="17"/>
        <v>0</v>
      </c>
      <c r="E21" s="46">
        <f t="shared" si="17"/>
        <v>0</v>
      </c>
      <c r="F21" s="46">
        <f t="shared" si="17"/>
        <v>0</v>
      </c>
      <c r="G21" s="46">
        <f t="shared" si="17"/>
        <v>0</v>
      </c>
      <c r="H21" s="46">
        <f t="shared" si="17"/>
        <v>0</v>
      </c>
      <c r="I21" s="46">
        <f t="shared" si="17"/>
        <v>0</v>
      </c>
      <c r="J21" s="46">
        <f t="shared" si="17"/>
        <v>0</v>
      </c>
      <c r="K21" s="46">
        <f t="shared" si="17"/>
        <v>0</v>
      </c>
      <c r="L21" s="46">
        <f t="shared" si="17"/>
        <v>0</v>
      </c>
      <c r="M21" s="46">
        <f t="shared" si="17"/>
        <v>0</v>
      </c>
      <c r="N21" s="53"/>
      <c r="O21" s="53"/>
      <c r="P21" s="53"/>
      <c r="Q21" s="53"/>
    </row>
    <row r="22" spans="1:17" x14ac:dyDescent="0.35">
      <c r="A22" s="46"/>
      <c r="B22" s="46" t="s">
        <v>18</v>
      </c>
      <c r="C22" s="46" t="s">
        <v>131</v>
      </c>
      <c r="D22" s="46">
        <f t="shared" si="17"/>
        <v>2</v>
      </c>
      <c r="E22" s="46">
        <f t="shared" si="17"/>
        <v>1</v>
      </c>
      <c r="F22" s="46">
        <f t="shared" si="17"/>
        <v>3</v>
      </c>
      <c r="G22" s="46">
        <f t="shared" si="17"/>
        <v>0</v>
      </c>
      <c r="H22" s="46">
        <f t="shared" si="17"/>
        <v>0</v>
      </c>
      <c r="I22" s="46">
        <f t="shared" si="17"/>
        <v>3</v>
      </c>
      <c r="J22" s="46">
        <f t="shared" si="17"/>
        <v>0</v>
      </c>
      <c r="K22" s="46">
        <f t="shared" si="17"/>
        <v>0</v>
      </c>
      <c r="L22" s="46">
        <f t="shared" si="17"/>
        <v>0</v>
      </c>
      <c r="M22" s="46">
        <f t="shared" si="17"/>
        <v>0</v>
      </c>
      <c r="N22" s="53"/>
      <c r="O22" s="53"/>
      <c r="P22" s="53"/>
      <c r="Q22" s="53"/>
    </row>
    <row r="23" spans="1:17" x14ac:dyDescent="0.35">
      <c r="A23" s="46"/>
      <c r="B23" s="46" t="s">
        <v>13</v>
      </c>
      <c r="C23" s="46" t="s">
        <v>131</v>
      </c>
      <c r="D23" s="46">
        <f t="shared" si="17"/>
        <v>8</v>
      </c>
      <c r="E23" s="46">
        <f t="shared" si="17"/>
        <v>4</v>
      </c>
      <c r="F23" s="46">
        <f t="shared" si="17"/>
        <v>12</v>
      </c>
      <c r="G23" s="46">
        <f t="shared" si="17"/>
        <v>0</v>
      </c>
      <c r="H23" s="46">
        <f t="shared" si="17"/>
        <v>0</v>
      </c>
      <c r="I23" s="46">
        <f t="shared" si="17"/>
        <v>12</v>
      </c>
      <c r="J23" s="46">
        <f t="shared" si="17"/>
        <v>0</v>
      </c>
      <c r="K23" s="46">
        <f t="shared" si="17"/>
        <v>0</v>
      </c>
      <c r="L23" s="46">
        <f t="shared" si="17"/>
        <v>0</v>
      </c>
      <c r="M23" s="46">
        <f t="shared" si="17"/>
        <v>0</v>
      </c>
      <c r="N23" s="53"/>
      <c r="O23" s="53"/>
      <c r="P23" s="53"/>
      <c r="Q23" s="53"/>
    </row>
    <row r="24" spans="1:17" x14ac:dyDescent="0.35">
      <c r="A24" s="36" t="s">
        <v>8</v>
      </c>
      <c r="B24" s="36" t="s">
        <v>11</v>
      </c>
      <c r="C24" s="36" t="s">
        <v>131</v>
      </c>
      <c r="D24" s="36">
        <f t="shared" si="17"/>
        <v>6</v>
      </c>
      <c r="E24" s="36">
        <f t="shared" si="17"/>
        <v>11</v>
      </c>
      <c r="F24" s="36">
        <f t="shared" si="17"/>
        <v>17</v>
      </c>
      <c r="G24" s="36">
        <f t="shared" si="17"/>
        <v>0</v>
      </c>
      <c r="H24" s="36">
        <f t="shared" si="17"/>
        <v>0</v>
      </c>
      <c r="I24" s="36">
        <f t="shared" si="17"/>
        <v>0</v>
      </c>
      <c r="J24" s="36">
        <f t="shared" si="17"/>
        <v>17</v>
      </c>
      <c r="K24" s="36">
        <f t="shared" si="17"/>
        <v>0</v>
      </c>
      <c r="L24" s="36">
        <f t="shared" si="17"/>
        <v>0</v>
      </c>
      <c r="M24" s="36">
        <f t="shared" si="17"/>
        <v>0</v>
      </c>
      <c r="N24" s="53"/>
      <c r="O24" s="53"/>
      <c r="P24" s="53"/>
      <c r="Q24" s="53"/>
    </row>
    <row r="25" spans="1:17" x14ac:dyDescent="0.35">
      <c r="A25" s="37">
        <f>(D45+E45+D46+E46+D47+E47+D48+E48+D49+E49)/$N$54</f>
        <v>0.6489795918367347</v>
      </c>
      <c r="B25" s="36" t="s">
        <v>72</v>
      </c>
      <c r="C25" s="36" t="s">
        <v>131</v>
      </c>
      <c r="D25" s="36">
        <f t="shared" si="17"/>
        <v>0</v>
      </c>
      <c r="E25" s="36">
        <f t="shared" si="17"/>
        <v>0</v>
      </c>
      <c r="F25" s="36">
        <f t="shared" si="17"/>
        <v>0</v>
      </c>
      <c r="G25" s="36">
        <f t="shared" si="17"/>
        <v>0</v>
      </c>
      <c r="H25" s="36">
        <f t="shared" si="17"/>
        <v>0</v>
      </c>
      <c r="I25" s="36">
        <f t="shared" si="17"/>
        <v>0</v>
      </c>
      <c r="J25" s="36">
        <f t="shared" si="17"/>
        <v>0</v>
      </c>
      <c r="K25" s="36">
        <f t="shared" si="17"/>
        <v>0</v>
      </c>
      <c r="L25" s="36">
        <f t="shared" si="17"/>
        <v>0</v>
      </c>
      <c r="M25" s="36">
        <f t="shared" si="17"/>
        <v>0</v>
      </c>
      <c r="N25" s="53"/>
      <c r="O25" s="53"/>
      <c r="P25" s="53"/>
      <c r="Q25" s="53"/>
    </row>
    <row r="26" spans="1:17" x14ac:dyDescent="0.35">
      <c r="A26" s="36"/>
      <c r="B26" s="36" t="s">
        <v>18</v>
      </c>
      <c r="C26" s="36" t="s">
        <v>131</v>
      </c>
      <c r="D26" s="36">
        <f t="shared" si="17"/>
        <v>31</v>
      </c>
      <c r="E26" s="36">
        <f t="shared" si="17"/>
        <v>30</v>
      </c>
      <c r="F26" s="36">
        <f t="shared" si="17"/>
        <v>60</v>
      </c>
      <c r="G26" s="36">
        <f t="shared" si="17"/>
        <v>1</v>
      </c>
      <c r="H26" s="36">
        <f t="shared" si="17"/>
        <v>0</v>
      </c>
      <c r="I26" s="36">
        <f t="shared" si="17"/>
        <v>61</v>
      </c>
      <c r="J26" s="36">
        <f t="shared" si="17"/>
        <v>0</v>
      </c>
      <c r="K26" s="36">
        <f t="shared" si="17"/>
        <v>0</v>
      </c>
      <c r="L26" s="36">
        <f t="shared" si="17"/>
        <v>0</v>
      </c>
      <c r="M26" s="36">
        <f t="shared" si="17"/>
        <v>0</v>
      </c>
      <c r="N26" s="53"/>
      <c r="O26" s="53"/>
      <c r="P26" s="53"/>
      <c r="Q26" s="53"/>
    </row>
    <row r="27" spans="1:17" x14ac:dyDescent="0.35">
      <c r="A27" s="36"/>
      <c r="B27" s="36" t="s">
        <v>13</v>
      </c>
      <c r="C27" s="36" t="s">
        <v>131</v>
      </c>
      <c r="D27" s="36">
        <f t="shared" si="17"/>
        <v>36</v>
      </c>
      <c r="E27" s="36">
        <f t="shared" si="17"/>
        <v>45</v>
      </c>
      <c r="F27" s="36">
        <f t="shared" si="17"/>
        <v>74</v>
      </c>
      <c r="G27" s="36">
        <f t="shared" si="17"/>
        <v>7</v>
      </c>
      <c r="H27" s="36">
        <f t="shared" si="17"/>
        <v>0</v>
      </c>
      <c r="I27" s="36">
        <f t="shared" si="17"/>
        <v>65</v>
      </c>
      <c r="J27" s="36">
        <f t="shared" si="17"/>
        <v>16</v>
      </c>
      <c r="K27" s="36">
        <f t="shared" si="17"/>
        <v>0</v>
      </c>
      <c r="L27" s="36">
        <f t="shared" si="17"/>
        <v>0</v>
      </c>
      <c r="M27" s="36">
        <f t="shared" si="17"/>
        <v>0</v>
      </c>
      <c r="N27" s="53"/>
      <c r="O27" s="53"/>
      <c r="P27" s="53"/>
      <c r="Q27" s="53"/>
    </row>
    <row r="28" spans="1:17" x14ac:dyDescent="0.35">
      <c r="A28" s="36"/>
      <c r="B28" s="36" t="s">
        <v>74</v>
      </c>
      <c r="C28" s="36" t="s">
        <v>131</v>
      </c>
      <c r="D28" s="36">
        <f t="shared" si="17"/>
        <v>0</v>
      </c>
      <c r="E28" s="36">
        <f t="shared" si="17"/>
        <v>0</v>
      </c>
      <c r="F28" s="36">
        <f t="shared" si="17"/>
        <v>0</v>
      </c>
      <c r="G28" s="36">
        <f t="shared" si="17"/>
        <v>0</v>
      </c>
      <c r="H28" s="36">
        <f t="shared" si="17"/>
        <v>0</v>
      </c>
      <c r="I28" s="36">
        <f t="shared" si="17"/>
        <v>0</v>
      </c>
      <c r="J28" s="36">
        <f t="shared" si="17"/>
        <v>0</v>
      </c>
      <c r="K28" s="36">
        <f t="shared" si="17"/>
        <v>0</v>
      </c>
      <c r="L28" s="36">
        <f t="shared" si="17"/>
        <v>0</v>
      </c>
      <c r="M28" s="36">
        <f t="shared" si="17"/>
        <v>0</v>
      </c>
      <c r="N28" s="53"/>
      <c r="O28" s="53"/>
      <c r="P28" s="53"/>
      <c r="Q28" s="53"/>
    </row>
    <row r="29" spans="1:17" x14ac:dyDescent="0.35">
      <c r="A29" s="48" t="s">
        <v>9</v>
      </c>
      <c r="B29" s="48" t="s">
        <v>11</v>
      </c>
      <c r="C29" s="48" t="s">
        <v>131</v>
      </c>
      <c r="D29" s="48">
        <f t="shared" si="17"/>
        <v>0</v>
      </c>
      <c r="E29" s="48">
        <f t="shared" si="17"/>
        <v>2</v>
      </c>
      <c r="F29" s="48">
        <f t="shared" si="17"/>
        <v>2</v>
      </c>
      <c r="G29" s="48">
        <f t="shared" si="17"/>
        <v>0</v>
      </c>
      <c r="H29" s="48">
        <f t="shared" si="17"/>
        <v>0</v>
      </c>
      <c r="I29" s="48">
        <f t="shared" si="17"/>
        <v>0</v>
      </c>
      <c r="J29" s="48">
        <f t="shared" si="17"/>
        <v>2</v>
      </c>
      <c r="K29" s="48">
        <f t="shared" si="17"/>
        <v>0</v>
      </c>
      <c r="L29" s="48">
        <f t="shared" si="17"/>
        <v>0</v>
      </c>
      <c r="M29" s="48">
        <f t="shared" si="17"/>
        <v>0</v>
      </c>
      <c r="N29" s="53"/>
      <c r="O29" s="53"/>
      <c r="P29" s="53"/>
      <c r="Q29" s="53"/>
    </row>
    <row r="30" spans="1:17" x14ac:dyDescent="0.35">
      <c r="A30" s="49">
        <f>(D50+E50+D51+E51+D52+E52+D52+E52+D53+E53+D54+E54)/$N$54</f>
        <v>0.11836734693877551</v>
      </c>
      <c r="B30" s="48" t="s">
        <v>72</v>
      </c>
      <c r="C30" s="48" t="s">
        <v>131</v>
      </c>
      <c r="D30" s="48">
        <f t="shared" si="17"/>
        <v>0</v>
      </c>
      <c r="E30" s="48">
        <f t="shared" si="17"/>
        <v>0</v>
      </c>
      <c r="F30" s="48">
        <f t="shared" si="17"/>
        <v>0</v>
      </c>
      <c r="G30" s="48">
        <f t="shared" si="17"/>
        <v>0</v>
      </c>
      <c r="H30" s="48">
        <f t="shared" si="17"/>
        <v>0</v>
      </c>
      <c r="I30" s="48">
        <f t="shared" si="17"/>
        <v>0</v>
      </c>
      <c r="J30" s="48">
        <f t="shared" si="17"/>
        <v>0</v>
      </c>
      <c r="K30" s="48">
        <f t="shared" si="17"/>
        <v>0</v>
      </c>
      <c r="L30" s="48">
        <f t="shared" si="17"/>
        <v>0</v>
      </c>
      <c r="M30" s="48">
        <f t="shared" si="17"/>
        <v>0</v>
      </c>
      <c r="N30" s="53"/>
      <c r="O30" s="53"/>
      <c r="P30" s="53"/>
      <c r="Q30" s="53"/>
    </row>
    <row r="31" spans="1:17" x14ac:dyDescent="0.35">
      <c r="A31" s="48"/>
      <c r="B31" s="48" t="s">
        <v>18</v>
      </c>
      <c r="C31" s="48" t="s">
        <v>131</v>
      </c>
      <c r="D31" s="48">
        <f t="shared" si="17"/>
        <v>2</v>
      </c>
      <c r="E31" s="48">
        <f t="shared" si="17"/>
        <v>3</v>
      </c>
      <c r="F31" s="48">
        <f t="shared" si="17"/>
        <v>5</v>
      </c>
      <c r="G31" s="48">
        <f t="shared" si="17"/>
        <v>0</v>
      </c>
      <c r="H31" s="48">
        <f t="shared" si="17"/>
        <v>0</v>
      </c>
      <c r="I31" s="48">
        <f t="shared" si="17"/>
        <v>5</v>
      </c>
      <c r="J31" s="48">
        <f t="shared" si="17"/>
        <v>0</v>
      </c>
      <c r="K31" s="48">
        <f t="shared" si="17"/>
        <v>0</v>
      </c>
      <c r="L31" s="48">
        <f t="shared" si="17"/>
        <v>0</v>
      </c>
      <c r="M31" s="48">
        <f t="shared" si="17"/>
        <v>0</v>
      </c>
      <c r="N31" s="53"/>
      <c r="O31" s="53"/>
      <c r="P31" s="53"/>
      <c r="Q31" s="53"/>
    </row>
    <row r="32" spans="1:17" x14ac:dyDescent="0.35">
      <c r="A32" s="48"/>
      <c r="B32" s="48" t="s">
        <v>13</v>
      </c>
      <c r="C32" s="48" t="s">
        <v>131</v>
      </c>
      <c r="D32" s="48">
        <f t="shared" si="17"/>
        <v>5</v>
      </c>
      <c r="E32" s="48">
        <f t="shared" si="17"/>
        <v>12</v>
      </c>
      <c r="F32" s="48">
        <f t="shared" si="17"/>
        <v>16</v>
      </c>
      <c r="G32" s="48">
        <f t="shared" si="17"/>
        <v>1</v>
      </c>
      <c r="H32" s="48">
        <f t="shared" si="17"/>
        <v>0</v>
      </c>
      <c r="I32" s="48">
        <f t="shared" si="17"/>
        <v>15</v>
      </c>
      <c r="J32" s="48">
        <f t="shared" si="17"/>
        <v>2</v>
      </c>
      <c r="K32" s="48">
        <f t="shared" si="17"/>
        <v>0</v>
      </c>
      <c r="L32" s="48">
        <f t="shared" si="17"/>
        <v>0</v>
      </c>
      <c r="M32" s="48">
        <f t="shared" si="17"/>
        <v>1</v>
      </c>
      <c r="N32" s="53"/>
      <c r="O32" s="53"/>
      <c r="P32" s="53"/>
      <c r="Q32" s="53"/>
    </row>
    <row r="33" spans="1:27" ht="15" thickBot="1" x14ac:dyDescent="0.4">
      <c r="A33" s="48"/>
      <c r="B33" s="48" t="s">
        <v>74</v>
      </c>
      <c r="C33" s="48" t="s">
        <v>131</v>
      </c>
      <c r="D33" s="48">
        <f t="shared" ref="D33:M33" si="18">D54</f>
        <v>0</v>
      </c>
      <c r="E33" s="48">
        <f t="shared" si="18"/>
        <v>0</v>
      </c>
      <c r="F33" s="48">
        <f t="shared" si="18"/>
        <v>0</v>
      </c>
      <c r="G33" s="48">
        <f t="shared" si="18"/>
        <v>0</v>
      </c>
      <c r="H33" s="48">
        <f t="shared" si="18"/>
        <v>0</v>
      </c>
      <c r="I33" s="48">
        <f t="shared" si="18"/>
        <v>0</v>
      </c>
      <c r="J33" s="48">
        <f t="shared" si="18"/>
        <v>0</v>
      </c>
      <c r="K33" s="48">
        <f t="shared" si="18"/>
        <v>0</v>
      </c>
      <c r="L33" s="48">
        <f t="shared" si="18"/>
        <v>0</v>
      </c>
      <c r="M33" s="48">
        <f t="shared" si="18"/>
        <v>0</v>
      </c>
      <c r="N33" s="53"/>
      <c r="O33" s="53"/>
      <c r="P33" s="53"/>
      <c r="Q33" s="53"/>
    </row>
    <row r="34" spans="1:27" ht="15" thickBot="1" x14ac:dyDescent="0.4">
      <c r="S34" s="91" t="s">
        <v>121</v>
      </c>
      <c r="T34" s="92"/>
      <c r="U34" s="92"/>
      <c r="V34" s="92"/>
      <c r="W34" s="92"/>
      <c r="X34" s="92"/>
      <c r="Y34" s="92"/>
      <c r="Z34" s="92"/>
      <c r="AA34" s="93"/>
    </row>
    <row r="35" spans="1:27" ht="65" customHeight="1" x14ac:dyDescent="0.35">
      <c r="A35" s="58" t="s">
        <v>135</v>
      </c>
      <c r="B35" s="1"/>
      <c r="C35" s="1"/>
      <c r="D35" s="1" t="s">
        <v>3</v>
      </c>
      <c r="E35" s="1" t="s">
        <v>4</v>
      </c>
      <c r="F35" s="1" t="s">
        <v>10</v>
      </c>
      <c r="G35" s="1" t="s">
        <v>17</v>
      </c>
      <c r="H35" s="1" t="s">
        <v>19</v>
      </c>
      <c r="I35" s="1" t="s">
        <v>20</v>
      </c>
      <c r="J35" s="1" t="s">
        <v>21</v>
      </c>
      <c r="K35" s="1" t="s">
        <v>22</v>
      </c>
      <c r="L35" s="1" t="s">
        <v>23</v>
      </c>
      <c r="M35" s="1" t="s">
        <v>24</v>
      </c>
      <c r="N35" s="10" t="s">
        <v>134</v>
      </c>
      <c r="O35" s="1"/>
      <c r="S35" s="34" t="s">
        <v>49</v>
      </c>
      <c r="T35" s="34" t="s">
        <v>51</v>
      </c>
      <c r="U35" s="34" t="s">
        <v>52</v>
      </c>
      <c r="V35" s="34" t="s">
        <v>53</v>
      </c>
      <c r="W35" s="34" t="s">
        <v>54</v>
      </c>
      <c r="X35" s="34" t="s">
        <v>55</v>
      </c>
      <c r="Y35" s="34" t="s">
        <v>56</v>
      </c>
      <c r="Z35" s="34" t="s">
        <v>57</v>
      </c>
      <c r="AA35" s="34" t="s">
        <v>58</v>
      </c>
    </row>
    <row r="36" spans="1:27" x14ac:dyDescent="0.35">
      <c r="A36" s="1" t="s">
        <v>5</v>
      </c>
      <c r="B36" s="1"/>
      <c r="C36" s="9">
        <f>(D78+E78+D99+E99+D120+E120+D141+E141+D162+E162+D183+E183+D204+E204)</f>
        <v>8</v>
      </c>
      <c r="D36" s="9"/>
      <c r="E36" s="1"/>
      <c r="F36" s="1"/>
      <c r="G36" s="1"/>
      <c r="H36" s="1"/>
      <c r="I36" s="1"/>
      <c r="J36" s="1"/>
      <c r="K36" s="1"/>
      <c r="L36" s="1"/>
      <c r="M36" s="1"/>
      <c r="N36" s="1">
        <f>(N57+N78+N99+N120+N141+N162+N183+N204)</f>
        <v>178</v>
      </c>
      <c r="O36" s="1" t="s">
        <v>43</v>
      </c>
      <c r="R36" s="17"/>
      <c r="S36" s="1" t="s">
        <v>95</v>
      </c>
      <c r="T36" s="1" t="s">
        <v>59</v>
      </c>
      <c r="U36" s="1" t="s">
        <v>59</v>
      </c>
      <c r="V36" s="1" t="s">
        <v>59</v>
      </c>
      <c r="W36" s="1" t="s">
        <v>60</v>
      </c>
      <c r="X36" s="1" t="s">
        <v>59</v>
      </c>
      <c r="Y36" s="1" t="s">
        <v>59</v>
      </c>
      <c r="Z36" s="1" t="s">
        <v>60</v>
      </c>
      <c r="AA36" s="1" t="s">
        <v>100</v>
      </c>
    </row>
    <row r="37" spans="1:27" x14ac:dyDescent="0.35">
      <c r="A37" s="1" t="s">
        <v>6</v>
      </c>
      <c r="B37" s="1" t="s">
        <v>11</v>
      </c>
      <c r="C37" s="1"/>
      <c r="D37" s="1">
        <f>(D58+D79+D100+D121+D142+D163+D184+D205)</f>
        <v>4</v>
      </c>
      <c r="E37" s="1">
        <f t="shared" ref="E37:M37" si="19">(E58+E79+E100+E121+E142+E163+E184+E205)</f>
        <v>7</v>
      </c>
      <c r="F37" s="1">
        <f t="shared" si="19"/>
        <v>11</v>
      </c>
      <c r="G37" s="1">
        <f t="shared" si="19"/>
        <v>0</v>
      </c>
      <c r="H37" s="1">
        <f t="shared" si="19"/>
        <v>0</v>
      </c>
      <c r="I37" s="1">
        <f t="shared" si="19"/>
        <v>0</v>
      </c>
      <c r="J37" s="1">
        <f t="shared" si="19"/>
        <v>11</v>
      </c>
      <c r="K37" s="1">
        <f t="shared" si="19"/>
        <v>0</v>
      </c>
      <c r="L37" s="1">
        <f t="shared" si="19"/>
        <v>0</v>
      </c>
      <c r="M37" s="1">
        <f t="shared" si="19"/>
        <v>0</v>
      </c>
      <c r="N37" s="1">
        <f>MIN(N58,N79,N100,N121,N142,N163,N184,N205)</f>
        <v>2</v>
      </c>
      <c r="O37" s="1" t="s">
        <v>44</v>
      </c>
      <c r="R37" s="17"/>
      <c r="S37" s="1" t="s">
        <v>95</v>
      </c>
      <c r="T37" s="1" t="s">
        <v>59</v>
      </c>
      <c r="U37" s="1" t="s">
        <v>59</v>
      </c>
      <c r="V37" s="1" t="s">
        <v>59</v>
      </c>
      <c r="W37" s="1" t="s">
        <v>60</v>
      </c>
      <c r="X37" s="1" t="s">
        <v>59</v>
      </c>
      <c r="Y37" s="1" t="s">
        <v>59</v>
      </c>
      <c r="Z37" s="1" t="s">
        <v>60</v>
      </c>
      <c r="AA37" s="1" t="s">
        <v>100</v>
      </c>
    </row>
    <row r="38" spans="1:27" x14ac:dyDescent="0.35">
      <c r="A38" s="1"/>
      <c r="B38" s="1" t="s">
        <v>72</v>
      </c>
      <c r="C38" s="1"/>
      <c r="D38" s="1">
        <f t="shared" ref="D38:M53" si="20">(D59+D80+D101+D122+D143+D164+D185+D206)</f>
        <v>0</v>
      </c>
      <c r="E38" s="1">
        <f t="shared" si="20"/>
        <v>0</v>
      </c>
      <c r="F38" s="1">
        <f t="shared" si="20"/>
        <v>0</v>
      </c>
      <c r="G38" s="1">
        <f t="shared" si="20"/>
        <v>0</v>
      </c>
      <c r="H38" s="1">
        <f t="shared" si="20"/>
        <v>0</v>
      </c>
      <c r="I38" s="1">
        <f t="shared" si="20"/>
        <v>0</v>
      </c>
      <c r="J38" s="1">
        <f t="shared" si="20"/>
        <v>0</v>
      </c>
      <c r="K38" s="1">
        <f t="shared" si="20"/>
        <v>0</v>
      </c>
      <c r="L38" s="1">
        <f t="shared" si="20"/>
        <v>0</v>
      </c>
      <c r="M38" s="1">
        <f t="shared" si="20"/>
        <v>0</v>
      </c>
      <c r="N38" s="1">
        <f>MAX(N59,N80,N101,N122,N143,N164,N185,N206)</f>
        <v>9</v>
      </c>
      <c r="O38" s="1" t="s">
        <v>45</v>
      </c>
      <c r="R38" s="17"/>
      <c r="S38" s="1" t="s">
        <v>95</v>
      </c>
      <c r="T38" s="1" t="s">
        <v>59</v>
      </c>
      <c r="U38" s="1" t="s">
        <v>59</v>
      </c>
      <c r="V38" s="1" t="s">
        <v>59</v>
      </c>
      <c r="W38" s="1" t="s">
        <v>60</v>
      </c>
      <c r="X38" s="1" t="s">
        <v>59</v>
      </c>
      <c r="Y38" s="1" t="s">
        <v>59</v>
      </c>
      <c r="Z38" s="1" t="s">
        <v>60</v>
      </c>
      <c r="AA38" s="1" t="s">
        <v>100</v>
      </c>
    </row>
    <row r="39" spans="1:27" x14ac:dyDescent="0.35">
      <c r="A39" s="1"/>
      <c r="B39" s="1" t="s">
        <v>18</v>
      </c>
      <c r="C39" s="1"/>
      <c r="D39" s="1">
        <f t="shared" si="20"/>
        <v>5</v>
      </c>
      <c r="E39" s="1">
        <f t="shared" si="20"/>
        <v>4</v>
      </c>
      <c r="F39" s="1">
        <f t="shared" si="20"/>
        <v>9</v>
      </c>
      <c r="G39" s="1">
        <f t="shared" si="20"/>
        <v>0</v>
      </c>
      <c r="H39" s="1">
        <f t="shared" si="20"/>
        <v>0</v>
      </c>
      <c r="I39" s="1">
        <f t="shared" si="20"/>
        <v>9</v>
      </c>
      <c r="J39" s="1">
        <f t="shared" si="20"/>
        <v>0</v>
      </c>
      <c r="K39" s="1">
        <f t="shared" si="20"/>
        <v>0</v>
      </c>
      <c r="L39" s="1">
        <f t="shared" si="20"/>
        <v>0</v>
      </c>
      <c r="M39" s="1">
        <f t="shared" si="20"/>
        <v>2</v>
      </c>
      <c r="N39" s="1">
        <f>AVERAGE(N60,N81,N102,N123,N144,N165,N186,N207)</f>
        <v>2.569551282051282</v>
      </c>
      <c r="O39" s="1" t="s">
        <v>46</v>
      </c>
      <c r="R39" s="17"/>
      <c r="S39" s="1" t="s">
        <v>95</v>
      </c>
      <c r="T39" s="1" t="s">
        <v>59</v>
      </c>
      <c r="U39" s="1" t="s">
        <v>59</v>
      </c>
      <c r="V39" s="1" t="s">
        <v>59</v>
      </c>
      <c r="W39" s="1" t="s">
        <v>60</v>
      </c>
      <c r="X39" s="1" t="s">
        <v>59</v>
      </c>
      <c r="Y39" s="1" t="s">
        <v>59</v>
      </c>
      <c r="Z39" s="1" t="s">
        <v>60</v>
      </c>
      <c r="AA39" s="1" t="s">
        <v>100</v>
      </c>
    </row>
    <row r="40" spans="1:27" x14ac:dyDescent="0.35">
      <c r="A40" s="1"/>
      <c r="B40" s="1" t="s">
        <v>13</v>
      </c>
      <c r="C40" s="1"/>
      <c r="D40" s="1">
        <f t="shared" si="20"/>
        <v>9</v>
      </c>
      <c r="E40" s="1">
        <f t="shared" si="20"/>
        <v>5</v>
      </c>
      <c r="F40" s="1">
        <f t="shared" si="20"/>
        <v>12</v>
      </c>
      <c r="G40" s="1">
        <f t="shared" si="20"/>
        <v>2</v>
      </c>
      <c r="H40" s="1">
        <f t="shared" si="20"/>
        <v>0</v>
      </c>
      <c r="I40" s="1">
        <f t="shared" si="20"/>
        <v>14</v>
      </c>
      <c r="J40" s="1">
        <f t="shared" si="20"/>
        <v>0</v>
      </c>
      <c r="K40" s="1">
        <f t="shared" si="20"/>
        <v>0</v>
      </c>
      <c r="L40" s="1">
        <f t="shared" si="20"/>
        <v>0</v>
      </c>
      <c r="M40" s="1">
        <f t="shared" si="20"/>
        <v>1</v>
      </c>
      <c r="R40" s="17"/>
      <c r="S40" s="1" t="s">
        <v>95</v>
      </c>
      <c r="T40" s="1" t="s">
        <v>59</v>
      </c>
      <c r="U40" s="1" t="s">
        <v>59</v>
      </c>
      <c r="V40" s="1" t="s">
        <v>59</v>
      </c>
      <c r="W40" s="1" t="s">
        <v>60</v>
      </c>
      <c r="X40" s="1" t="s">
        <v>59</v>
      </c>
      <c r="Y40" s="1" t="s">
        <v>59</v>
      </c>
      <c r="Z40" s="1" t="s">
        <v>60</v>
      </c>
      <c r="AA40" s="1" t="s">
        <v>100</v>
      </c>
    </row>
    <row r="41" spans="1:27" x14ac:dyDescent="0.35">
      <c r="A41" s="1" t="s">
        <v>7</v>
      </c>
      <c r="B41" s="1" t="s">
        <v>11</v>
      </c>
      <c r="C41" s="1"/>
      <c r="D41" s="1">
        <f t="shared" si="20"/>
        <v>2</v>
      </c>
      <c r="E41" s="1">
        <f t="shared" si="20"/>
        <v>3</v>
      </c>
      <c r="F41" s="1">
        <f t="shared" si="20"/>
        <v>5</v>
      </c>
      <c r="G41" s="1">
        <f t="shared" si="20"/>
        <v>0</v>
      </c>
      <c r="H41" s="1">
        <f t="shared" si="20"/>
        <v>0</v>
      </c>
      <c r="I41" s="1">
        <f t="shared" si="20"/>
        <v>0</v>
      </c>
      <c r="J41" s="1">
        <f t="shared" si="20"/>
        <v>5</v>
      </c>
      <c r="K41" s="1">
        <f t="shared" si="20"/>
        <v>0</v>
      </c>
      <c r="L41" s="1">
        <f t="shared" si="20"/>
        <v>0</v>
      </c>
      <c r="M41" s="1">
        <f t="shared" si="20"/>
        <v>0</v>
      </c>
      <c r="R41" s="17"/>
    </row>
    <row r="42" spans="1:27" x14ac:dyDescent="0.35">
      <c r="A42" s="1"/>
      <c r="B42" s="1" t="s">
        <v>72</v>
      </c>
      <c r="C42" s="1"/>
      <c r="D42" s="1">
        <f t="shared" si="20"/>
        <v>0</v>
      </c>
      <c r="E42" s="1">
        <f t="shared" si="20"/>
        <v>0</v>
      </c>
      <c r="F42" s="1">
        <f t="shared" si="20"/>
        <v>0</v>
      </c>
      <c r="G42" s="1">
        <f t="shared" si="20"/>
        <v>0</v>
      </c>
      <c r="H42" s="1">
        <f t="shared" si="20"/>
        <v>0</v>
      </c>
      <c r="I42" s="1">
        <f t="shared" si="20"/>
        <v>0</v>
      </c>
      <c r="J42" s="1">
        <f t="shared" si="20"/>
        <v>0</v>
      </c>
      <c r="K42" s="1">
        <f t="shared" si="20"/>
        <v>0</v>
      </c>
      <c r="L42" s="1">
        <f t="shared" si="20"/>
        <v>0</v>
      </c>
      <c r="M42" s="1">
        <f t="shared" si="20"/>
        <v>0</v>
      </c>
      <c r="R42" s="17"/>
    </row>
    <row r="43" spans="1:27" x14ac:dyDescent="0.35">
      <c r="A43" s="1"/>
      <c r="B43" s="1" t="s">
        <v>18</v>
      </c>
      <c r="C43" s="1"/>
      <c r="D43" s="1">
        <f t="shared" si="20"/>
        <v>2</v>
      </c>
      <c r="E43" s="1">
        <f t="shared" si="20"/>
        <v>1</v>
      </c>
      <c r="F43" s="1">
        <f t="shared" si="20"/>
        <v>3</v>
      </c>
      <c r="G43" s="1">
        <f t="shared" si="20"/>
        <v>0</v>
      </c>
      <c r="H43" s="1">
        <f t="shared" si="20"/>
        <v>0</v>
      </c>
      <c r="I43" s="1">
        <f t="shared" si="20"/>
        <v>3</v>
      </c>
      <c r="J43" s="1">
        <f t="shared" si="20"/>
        <v>0</v>
      </c>
      <c r="K43" s="1">
        <f t="shared" si="20"/>
        <v>0</v>
      </c>
      <c r="L43" s="1">
        <f t="shared" si="20"/>
        <v>0</v>
      </c>
      <c r="M43" s="1">
        <f t="shared" si="20"/>
        <v>0</v>
      </c>
    </row>
    <row r="44" spans="1:27" x14ac:dyDescent="0.35">
      <c r="A44" s="1"/>
      <c r="B44" s="1" t="s">
        <v>13</v>
      </c>
      <c r="C44" s="1"/>
      <c r="D44" s="1">
        <f t="shared" si="20"/>
        <v>8</v>
      </c>
      <c r="E44" s="1">
        <f t="shared" si="20"/>
        <v>4</v>
      </c>
      <c r="F44" s="1">
        <f t="shared" si="20"/>
        <v>12</v>
      </c>
      <c r="G44" s="1">
        <f t="shared" si="20"/>
        <v>0</v>
      </c>
      <c r="H44" s="1">
        <f t="shared" si="20"/>
        <v>0</v>
      </c>
      <c r="I44" s="1">
        <f t="shared" si="20"/>
        <v>12</v>
      </c>
      <c r="J44" s="1">
        <f t="shared" si="20"/>
        <v>0</v>
      </c>
      <c r="K44" s="1">
        <f t="shared" si="20"/>
        <v>0</v>
      </c>
      <c r="L44" s="1">
        <f t="shared" si="20"/>
        <v>0</v>
      </c>
      <c r="M44" s="1">
        <f t="shared" si="20"/>
        <v>0</v>
      </c>
    </row>
    <row r="45" spans="1:27" x14ac:dyDescent="0.35">
      <c r="A45" s="1" t="s">
        <v>8</v>
      </c>
      <c r="B45" s="1" t="s">
        <v>11</v>
      </c>
      <c r="C45" s="1"/>
      <c r="D45" s="1">
        <f t="shared" si="20"/>
        <v>6</v>
      </c>
      <c r="E45" s="1">
        <f t="shared" si="20"/>
        <v>11</v>
      </c>
      <c r="F45" s="1">
        <f t="shared" si="20"/>
        <v>17</v>
      </c>
      <c r="G45" s="1">
        <f t="shared" si="20"/>
        <v>0</v>
      </c>
      <c r="H45" s="1">
        <f t="shared" si="20"/>
        <v>0</v>
      </c>
      <c r="I45" s="1">
        <f t="shared" si="20"/>
        <v>0</v>
      </c>
      <c r="J45" s="1">
        <f t="shared" si="20"/>
        <v>17</v>
      </c>
      <c r="K45" s="1">
        <f t="shared" si="20"/>
        <v>0</v>
      </c>
      <c r="L45" s="1">
        <f t="shared" si="20"/>
        <v>0</v>
      </c>
      <c r="M45" s="1">
        <f t="shared" si="20"/>
        <v>0</v>
      </c>
    </row>
    <row r="46" spans="1:27" x14ac:dyDescent="0.35">
      <c r="A46" s="1"/>
      <c r="B46" s="1" t="s">
        <v>72</v>
      </c>
      <c r="C46" s="1"/>
      <c r="D46" s="1">
        <f t="shared" si="20"/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</row>
    <row r="47" spans="1:27" x14ac:dyDescent="0.35">
      <c r="A47" s="1"/>
      <c r="B47" s="1" t="s">
        <v>18</v>
      </c>
      <c r="C47" s="1"/>
      <c r="D47" s="1">
        <f t="shared" si="20"/>
        <v>31</v>
      </c>
      <c r="E47" s="1">
        <f t="shared" si="20"/>
        <v>30</v>
      </c>
      <c r="F47" s="1">
        <f t="shared" si="20"/>
        <v>60</v>
      </c>
      <c r="G47" s="1">
        <f t="shared" si="20"/>
        <v>1</v>
      </c>
      <c r="H47" s="1">
        <f t="shared" si="20"/>
        <v>0</v>
      </c>
      <c r="I47" s="1">
        <f t="shared" si="20"/>
        <v>61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</row>
    <row r="48" spans="1:27" x14ac:dyDescent="0.35">
      <c r="A48" s="1"/>
      <c r="B48" s="1" t="s">
        <v>13</v>
      </c>
      <c r="C48" s="1"/>
      <c r="D48" s="1">
        <f t="shared" si="20"/>
        <v>36</v>
      </c>
      <c r="E48" s="1">
        <f t="shared" si="20"/>
        <v>45</v>
      </c>
      <c r="F48" s="1">
        <f t="shared" si="20"/>
        <v>74</v>
      </c>
      <c r="G48" s="1">
        <f t="shared" si="20"/>
        <v>7</v>
      </c>
      <c r="H48" s="1">
        <f t="shared" si="20"/>
        <v>0</v>
      </c>
      <c r="I48" s="1">
        <f t="shared" si="20"/>
        <v>65</v>
      </c>
      <c r="J48" s="1">
        <f t="shared" si="20"/>
        <v>16</v>
      </c>
      <c r="K48" s="1">
        <f t="shared" si="20"/>
        <v>0</v>
      </c>
      <c r="L48" s="1">
        <f t="shared" si="20"/>
        <v>0</v>
      </c>
      <c r="M48" s="1">
        <f t="shared" si="20"/>
        <v>0</v>
      </c>
    </row>
    <row r="49" spans="1:15" x14ac:dyDescent="0.35">
      <c r="A49" s="1"/>
      <c r="B49" s="1" t="s">
        <v>74</v>
      </c>
      <c r="C49" s="1"/>
      <c r="D49" s="1">
        <f t="shared" si="20"/>
        <v>0</v>
      </c>
      <c r="E49" s="1">
        <f t="shared" si="20"/>
        <v>0</v>
      </c>
      <c r="F49" s="1">
        <f t="shared" si="20"/>
        <v>0</v>
      </c>
      <c r="G49" s="1">
        <f t="shared" si="20"/>
        <v>0</v>
      </c>
      <c r="H49" s="1">
        <f t="shared" si="20"/>
        <v>0</v>
      </c>
      <c r="I49" s="1">
        <f t="shared" si="20"/>
        <v>0</v>
      </c>
      <c r="J49" s="1">
        <f t="shared" si="20"/>
        <v>0</v>
      </c>
      <c r="K49" s="1">
        <f t="shared" si="20"/>
        <v>0</v>
      </c>
      <c r="L49" s="1">
        <f t="shared" si="20"/>
        <v>0</v>
      </c>
      <c r="M49" s="1">
        <f t="shared" si="20"/>
        <v>0</v>
      </c>
    </row>
    <row r="50" spans="1:15" x14ac:dyDescent="0.35">
      <c r="A50" s="1" t="s">
        <v>9</v>
      </c>
      <c r="B50" s="1" t="s">
        <v>11</v>
      </c>
      <c r="C50" s="1"/>
      <c r="D50" s="1">
        <f t="shared" si="20"/>
        <v>0</v>
      </c>
      <c r="E50" s="1">
        <f t="shared" si="20"/>
        <v>2</v>
      </c>
      <c r="F50" s="1">
        <f t="shared" si="20"/>
        <v>2</v>
      </c>
      <c r="G50" s="1">
        <f t="shared" si="20"/>
        <v>0</v>
      </c>
      <c r="H50" s="1">
        <f t="shared" si="20"/>
        <v>0</v>
      </c>
      <c r="I50" s="1">
        <f t="shared" si="20"/>
        <v>0</v>
      </c>
      <c r="J50" s="1">
        <f t="shared" si="20"/>
        <v>2</v>
      </c>
      <c r="K50" s="1">
        <f t="shared" si="20"/>
        <v>0</v>
      </c>
      <c r="L50" s="1">
        <f t="shared" si="20"/>
        <v>0</v>
      </c>
      <c r="M50" s="1">
        <f t="shared" si="20"/>
        <v>0</v>
      </c>
    </row>
    <row r="51" spans="1:15" x14ac:dyDescent="0.35">
      <c r="A51" s="1"/>
      <c r="B51" s="1" t="s">
        <v>69</v>
      </c>
      <c r="C51" s="1"/>
      <c r="D51" s="1">
        <f t="shared" si="20"/>
        <v>0</v>
      </c>
      <c r="E51" s="1">
        <f t="shared" si="20"/>
        <v>0</v>
      </c>
      <c r="F51" s="1">
        <f t="shared" si="20"/>
        <v>0</v>
      </c>
      <c r="G51" s="1">
        <f t="shared" si="20"/>
        <v>0</v>
      </c>
      <c r="H51" s="1">
        <f t="shared" si="20"/>
        <v>0</v>
      </c>
      <c r="I51" s="1">
        <f t="shared" si="20"/>
        <v>0</v>
      </c>
      <c r="J51" s="1">
        <f t="shared" si="20"/>
        <v>0</v>
      </c>
      <c r="K51" s="1">
        <f t="shared" si="20"/>
        <v>0</v>
      </c>
      <c r="L51" s="1">
        <f t="shared" si="20"/>
        <v>0</v>
      </c>
      <c r="M51" s="1">
        <f t="shared" si="20"/>
        <v>0</v>
      </c>
    </row>
    <row r="52" spans="1:15" x14ac:dyDescent="0.35">
      <c r="A52" s="1"/>
      <c r="B52" s="1" t="s">
        <v>18</v>
      </c>
      <c r="C52" s="1"/>
      <c r="D52" s="1">
        <f t="shared" si="20"/>
        <v>2</v>
      </c>
      <c r="E52" s="1">
        <f t="shared" si="20"/>
        <v>3</v>
      </c>
      <c r="F52" s="1">
        <f t="shared" si="20"/>
        <v>5</v>
      </c>
      <c r="G52" s="1">
        <f t="shared" si="20"/>
        <v>0</v>
      </c>
      <c r="H52" s="1">
        <f t="shared" si="20"/>
        <v>0</v>
      </c>
      <c r="I52" s="1">
        <f t="shared" si="20"/>
        <v>5</v>
      </c>
      <c r="J52" s="1">
        <f t="shared" si="20"/>
        <v>0</v>
      </c>
      <c r="K52" s="1">
        <f t="shared" si="20"/>
        <v>0</v>
      </c>
      <c r="L52" s="1">
        <f t="shared" si="20"/>
        <v>0</v>
      </c>
      <c r="M52" s="1">
        <f t="shared" si="20"/>
        <v>0</v>
      </c>
    </row>
    <row r="53" spans="1:15" x14ac:dyDescent="0.35">
      <c r="A53" s="1"/>
      <c r="B53" s="1" t="s">
        <v>13</v>
      </c>
      <c r="C53" s="1"/>
      <c r="D53" s="1">
        <f t="shared" si="20"/>
        <v>5</v>
      </c>
      <c r="E53" s="1">
        <f t="shared" si="20"/>
        <v>12</v>
      </c>
      <c r="F53" s="1">
        <f t="shared" si="20"/>
        <v>16</v>
      </c>
      <c r="G53" s="1">
        <f t="shared" si="20"/>
        <v>1</v>
      </c>
      <c r="H53" s="1">
        <f t="shared" si="20"/>
        <v>0</v>
      </c>
      <c r="I53" s="1">
        <f t="shared" si="20"/>
        <v>15</v>
      </c>
      <c r="J53" s="1">
        <f t="shared" si="20"/>
        <v>2</v>
      </c>
      <c r="K53" s="1">
        <f t="shared" si="20"/>
        <v>0</v>
      </c>
      <c r="L53" s="1">
        <f t="shared" si="20"/>
        <v>0</v>
      </c>
      <c r="M53" s="1">
        <f t="shared" si="20"/>
        <v>1</v>
      </c>
      <c r="N53" s="12" t="s">
        <v>66</v>
      </c>
    </row>
    <row r="54" spans="1:15" x14ac:dyDescent="0.35">
      <c r="A54" s="1"/>
      <c r="B54" s="1" t="s">
        <v>74</v>
      </c>
      <c r="C54" s="1"/>
      <c r="D54" s="1">
        <f t="shared" ref="D54:M54" si="21">(D75+D96+D117+D138+D159+D180+D201+D222)</f>
        <v>0</v>
      </c>
      <c r="E54" s="1">
        <f t="shared" si="21"/>
        <v>0</v>
      </c>
      <c r="F54" s="1">
        <f t="shared" si="21"/>
        <v>0</v>
      </c>
      <c r="G54" s="1">
        <f t="shared" si="21"/>
        <v>0</v>
      </c>
      <c r="H54" s="1">
        <f t="shared" si="21"/>
        <v>0</v>
      </c>
      <c r="I54" s="1">
        <f t="shared" si="21"/>
        <v>0</v>
      </c>
      <c r="J54" s="1">
        <f t="shared" si="21"/>
        <v>0</v>
      </c>
      <c r="K54" s="1">
        <f t="shared" si="21"/>
        <v>0</v>
      </c>
      <c r="L54" s="1">
        <f t="shared" si="21"/>
        <v>0</v>
      </c>
      <c r="M54" s="1">
        <f t="shared" si="21"/>
        <v>0</v>
      </c>
      <c r="N54" s="12">
        <f>SUM(C36:E54)</f>
        <v>245</v>
      </c>
    </row>
    <row r="56" spans="1:15" x14ac:dyDescent="0.35">
      <c r="A56" s="18" t="s">
        <v>84</v>
      </c>
      <c r="B56" s="20">
        <v>44646</v>
      </c>
      <c r="C56" s="16" t="s">
        <v>42</v>
      </c>
      <c r="D56" s="16" t="s">
        <v>3</v>
      </c>
      <c r="E56" s="16" t="s">
        <v>4</v>
      </c>
      <c r="F56" s="16" t="s">
        <v>10</v>
      </c>
      <c r="G56" s="16" t="s">
        <v>17</v>
      </c>
      <c r="H56" s="16" t="s">
        <v>19</v>
      </c>
      <c r="I56" s="16" t="s">
        <v>20</v>
      </c>
      <c r="J56" s="16" t="s">
        <v>21</v>
      </c>
      <c r="K56" s="16" t="s">
        <v>22</v>
      </c>
      <c r="L56" s="16" t="s">
        <v>23</v>
      </c>
      <c r="M56" s="16" t="s">
        <v>24</v>
      </c>
      <c r="N56" s="16" t="s">
        <v>15</v>
      </c>
    </row>
    <row r="57" spans="1:15" x14ac:dyDescent="0.35">
      <c r="A57" s="16" t="s">
        <v>5</v>
      </c>
      <c r="D57" s="16">
        <v>0</v>
      </c>
      <c r="E57" s="16">
        <v>0</v>
      </c>
      <c r="N57" s="16">
        <v>13</v>
      </c>
      <c r="O57" s="16" t="s">
        <v>43</v>
      </c>
    </row>
    <row r="58" spans="1:15" x14ac:dyDescent="0.35">
      <c r="A58" s="16" t="s">
        <v>6</v>
      </c>
      <c r="B58" s="16" t="s">
        <v>11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2</v>
      </c>
      <c r="O58" s="16" t="s">
        <v>44</v>
      </c>
    </row>
    <row r="59" spans="1:15" x14ac:dyDescent="0.35">
      <c r="B59" s="16" t="s">
        <v>72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3</v>
      </c>
      <c r="O59" s="16" t="s">
        <v>45</v>
      </c>
    </row>
    <row r="60" spans="1:15" x14ac:dyDescent="0.35">
      <c r="B60" s="16" t="s">
        <v>18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2.1666666666666665</v>
      </c>
      <c r="O60" s="16" t="s">
        <v>46</v>
      </c>
    </row>
    <row r="61" spans="1:15" x14ac:dyDescent="0.35">
      <c r="B61" s="16" t="s">
        <v>13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</row>
    <row r="62" spans="1:15" x14ac:dyDescent="0.35">
      <c r="A62" s="16" t="s">
        <v>7</v>
      </c>
      <c r="B62" s="16" t="s">
        <v>11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</row>
    <row r="63" spans="1:15" x14ac:dyDescent="0.35">
      <c r="B63" s="16" t="s">
        <v>72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</row>
    <row r="64" spans="1:15" x14ac:dyDescent="0.35">
      <c r="B64" s="16" t="s">
        <v>18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</row>
    <row r="65" spans="1:15" x14ac:dyDescent="0.35">
      <c r="B65" s="16" t="s">
        <v>13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</row>
    <row r="66" spans="1:15" x14ac:dyDescent="0.35">
      <c r="A66" s="16" t="s">
        <v>8</v>
      </c>
      <c r="B66" s="16" t="s">
        <v>11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</row>
    <row r="67" spans="1:15" x14ac:dyDescent="0.35">
      <c r="B67" s="16" t="s">
        <v>72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</row>
    <row r="68" spans="1:15" x14ac:dyDescent="0.35">
      <c r="B68" s="16" t="s">
        <v>18</v>
      </c>
      <c r="D68" s="16">
        <v>5</v>
      </c>
      <c r="E68" s="16">
        <v>4</v>
      </c>
      <c r="F68" s="16">
        <v>9</v>
      </c>
      <c r="G68" s="16">
        <v>0</v>
      </c>
      <c r="H68" s="16">
        <v>0</v>
      </c>
      <c r="I68" s="16">
        <v>9</v>
      </c>
      <c r="J68" s="16">
        <v>0</v>
      </c>
      <c r="K68" s="16">
        <v>0</v>
      </c>
      <c r="L68" s="16">
        <v>0</v>
      </c>
      <c r="M68" s="16">
        <v>0</v>
      </c>
    </row>
    <row r="69" spans="1:15" x14ac:dyDescent="0.35">
      <c r="B69" s="16" t="s">
        <v>13</v>
      </c>
      <c r="D69" s="16">
        <v>2</v>
      </c>
      <c r="E69" s="16">
        <v>8</v>
      </c>
      <c r="F69" s="16">
        <v>8</v>
      </c>
      <c r="G69" s="16">
        <v>2</v>
      </c>
      <c r="H69" s="16">
        <v>0</v>
      </c>
      <c r="I69" s="16">
        <v>5</v>
      </c>
      <c r="J69" s="16">
        <v>5</v>
      </c>
      <c r="K69" s="16">
        <v>0</v>
      </c>
      <c r="L69" s="16">
        <v>0</v>
      </c>
      <c r="M69" s="16">
        <v>0</v>
      </c>
    </row>
    <row r="70" spans="1:15" x14ac:dyDescent="0.35">
      <c r="B70" s="16" t="s">
        <v>74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</row>
    <row r="71" spans="1:15" x14ac:dyDescent="0.35">
      <c r="A71" s="16" t="s">
        <v>9</v>
      </c>
      <c r="B71" s="16" t="s">
        <v>11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</row>
    <row r="72" spans="1:15" x14ac:dyDescent="0.35">
      <c r="B72" s="16" t="s">
        <v>72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</row>
    <row r="73" spans="1:15" x14ac:dyDescent="0.35">
      <c r="B73" s="16" t="s">
        <v>18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</row>
    <row r="74" spans="1:15" x14ac:dyDescent="0.35">
      <c r="B74" s="16" t="s">
        <v>13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</row>
    <row r="75" spans="1:15" x14ac:dyDescent="0.35">
      <c r="B75" s="16" t="s">
        <v>74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</row>
    <row r="77" spans="1:15" x14ac:dyDescent="0.35">
      <c r="A77" s="18" t="s">
        <v>84</v>
      </c>
      <c r="B77" s="19">
        <v>44646</v>
      </c>
      <c r="C77" s="16" t="s">
        <v>81</v>
      </c>
      <c r="D77" s="16" t="s">
        <v>3</v>
      </c>
      <c r="E77" s="16" t="s">
        <v>4</v>
      </c>
      <c r="F77" s="16" t="s">
        <v>10</v>
      </c>
      <c r="G77" s="16" t="s">
        <v>17</v>
      </c>
      <c r="H77" s="16" t="s">
        <v>19</v>
      </c>
      <c r="I77" s="16" t="s">
        <v>20</v>
      </c>
      <c r="J77" s="16" t="s">
        <v>21</v>
      </c>
      <c r="K77" s="16" t="s">
        <v>22</v>
      </c>
      <c r="L77" s="16" t="s">
        <v>23</v>
      </c>
      <c r="M77" s="16" t="s">
        <v>24</v>
      </c>
      <c r="N77" s="16" t="s">
        <v>15</v>
      </c>
    </row>
    <row r="78" spans="1:15" x14ac:dyDescent="0.35">
      <c r="A78" s="16" t="s">
        <v>5</v>
      </c>
      <c r="D78" s="16">
        <v>3</v>
      </c>
      <c r="E78" s="16">
        <v>2</v>
      </c>
      <c r="N78" s="16">
        <v>38</v>
      </c>
      <c r="O78" s="16" t="s">
        <v>43</v>
      </c>
    </row>
    <row r="79" spans="1:15" x14ac:dyDescent="0.35">
      <c r="A79" s="16" t="s">
        <v>6</v>
      </c>
      <c r="B79" s="16" t="s">
        <v>11</v>
      </c>
      <c r="D79" s="16">
        <v>1</v>
      </c>
      <c r="E79" s="16">
        <v>1</v>
      </c>
      <c r="F79" s="16">
        <v>2</v>
      </c>
      <c r="G79" s="16">
        <v>0</v>
      </c>
      <c r="H79" s="16">
        <v>0</v>
      </c>
      <c r="I79" s="16">
        <v>0</v>
      </c>
      <c r="J79" s="16">
        <v>2</v>
      </c>
      <c r="K79" s="16">
        <v>0</v>
      </c>
      <c r="L79" s="16">
        <v>0</v>
      </c>
      <c r="M79" s="16">
        <v>0</v>
      </c>
      <c r="N79" s="16">
        <v>2</v>
      </c>
      <c r="O79" s="16" t="s">
        <v>44</v>
      </c>
    </row>
    <row r="80" spans="1:15" x14ac:dyDescent="0.35">
      <c r="B80" s="16" t="s">
        <v>72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6</v>
      </c>
      <c r="O80" s="16" t="s">
        <v>45</v>
      </c>
    </row>
    <row r="81" spans="1:15" x14ac:dyDescent="0.35">
      <c r="B81" s="16" t="s">
        <v>18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2.9230769230769229</v>
      </c>
      <c r="O81" s="16" t="s">
        <v>46</v>
      </c>
    </row>
    <row r="82" spans="1:15" x14ac:dyDescent="0.35">
      <c r="B82" s="16" t="s">
        <v>13</v>
      </c>
      <c r="D82" s="16">
        <v>3</v>
      </c>
      <c r="E82" s="16">
        <v>2</v>
      </c>
      <c r="F82" s="16">
        <v>5</v>
      </c>
      <c r="G82" s="16">
        <v>0</v>
      </c>
      <c r="H82" s="16">
        <v>0</v>
      </c>
      <c r="I82" s="16">
        <v>5</v>
      </c>
      <c r="J82" s="16">
        <v>0</v>
      </c>
      <c r="K82" s="16">
        <v>0</v>
      </c>
      <c r="L82" s="16">
        <v>0</v>
      </c>
      <c r="M82" s="16">
        <v>0</v>
      </c>
    </row>
    <row r="83" spans="1:15" x14ac:dyDescent="0.35">
      <c r="A83" s="16" t="s">
        <v>7</v>
      </c>
      <c r="B83" s="16" t="s">
        <v>11</v>
      </c>
      <c r="D83" s="16">
        <v>0</v>
      </c>
      <c r="E83" s="16">
        <v>1</v>
      </c>
      <c r="F83" s="16">
        <v>1</v>
      </c>
      <c r="G83" s="16">
        <v>0</v>
      </c>
      <c r="H83" s="16">
        <v>0</v>
      </c>
      <c r="I83" s="16">
        <v>0</v>
      </c>
      <c r="J83" s="16">
        <v>1</v>
      </c>
      <c r="K83" s="16">
        <v>0</v>
      </c>
      <c r="L83" s="16">
        <v>0</v>
      </c>
      <c r="M83" s="16">
        <v>0</v>
      </c>
    </row>
    <row r="84" spans="1:15" x14ac:dyDescent="0.35">
      <c r="B84" s="16" t="s">
        <v>72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</row>
    <row r="85" spans="1:15" x14ac:dyDescent="0.35">
      <c r="B85" s="16" t="s">
        <v>18</v>
      </c>
      <c r="D85" s="16">
        <v>1</v>
      </c>
      <c r="E85" s="16">
        <v>0</v>
      </c>
      <c r="F85" s="16">
        <v>1</v>
      </c>
      <c r="G85" s="16">
        <v>0</v>
      </c>
      <c r="H85" s="16">
        <v>0</v>
      </c>
      <c r="I85" s="16">
        <v>1</v>
      </c>
      <c r="J85" s="16">
        <v>0</v>
      </c>
      <c r="K85" s="16">
        <v>0</v>
      </c>
      <c r="L85" s="16">
        <v>0</v>
      </c>
      <c r="M85" s="16">
        <v>0</v>
      </c>
    </row>
    <row r="86" spans="1:15" x14ac:dyDescent="0.35">
      <c r="B86" s="16" t="s">
        <v>13</v>
      </c>
      <c r="D86" s="16">
        <v>0</v>
      </c>
      <c r="E86" s="16">
        <v>1</v>
      </c>
      <c r="F86" s="16">
        <v>1</v>
      </c>
      <c r="G86" s="16">
        <v>0</v>
      </c>
      <c r="H86" s="16">
        <v>0</v>
      </c>
      <c r="I86" s="16">
        <v>1</v>
      </c>
      <c r="J86" s="16">
        <v>0</v>
      </c>
      <c r="K86" s="16">
        <v>0</v>
      </c>
      <c r="L86" s="16">
        <v>0</v>
      </c>
      <c r="M86" s="16">
        <v>0</v>
      </c>
    </row>
    <row r="87" spans="1:15" x14ac:dyDescent="0.35">
      <c r="A87" s="16" t="s">
        <v>8</v>
      </c>
      <c r="B87" s="16" t="s">
        <v>11</v>
      </c>
      <c r="D87" s="16">
        <v>3</v>
      </c>
      <c r="E87" s="16">
        <v>7</v>
      </c>
      <c r="F87" s="16">
        <v>10</v>
      </c>
      <c r="G87" s="16">
        <v>0</v>
      </c>
      <c r="H87" s="16">
        <v>0</v>
      </c>
      <c r="I87" s="16">
        <v>0</v>
      </c>
      <c r="J87" s="16">
        <v>10</v>
      </c>
      <c r="K87" s="16">
        <v>0</v>
      </c>
      <c r="L87" s="16">
        <v>0</v>
      </c>
      <c r="M87" s="16">
        <v>0</v>
      </c>
    </row>
    <row r="88" spans="1:15" x14ac:dyDescent="0.35">
      <c r="B88" s="16" t="s">
        <v>72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</row>
    <row r="89" spans="1:15" x14ac:dyDescent="0.35">
      <c r="B89" s="16" t="s">
        <v>18</v>
      </c>
      <c r="D89" s="16">
        <v>4</v>
      </c>
      <c r="E89" s="16">
        <v>1</v>
      </c>
      <c r="F89" s="16">
        <v>4</v>
      </c>
      <c r="G89" s="16">
        <v>1</v>
      </c>
      <c r="H89" s="16">
        <v>0</v>
      </c>
      <c r="I89" s="16">
        <v>5</v>
      </c>
      <c r="J89" s="16">
        <v>0</v>
      </c>
      <c r="K89" s="16">
        <v>0</v>
      </c>
      <c r="L89" s="16">
        <v>0</v>
      </c>
      <c r="M89" s="16">
        <v>0</v>
      </c>
    </row>
    <row r="90" spans="1:15" x14ac:dyDescent="0.35">
      <c r="B90" s="16" t="s">
        <v>13</v>
      </c>
      <c r="D90" s="16">
        <v>10</v>
      </c>
      <c r="E90" s="16">
        <v>5</v>
      </c>
      <c r="F90" s="16">
        <v>15</v>
      </c>
      <c r="G90" s="16">
        <v>0</v>
      </c>
      <c r="H90" s="16">
        <v>0</v>
      </c>
      <c r="I90" s="16">
        <v>15</v>
      </c>
      <c r="J90" s="16">
        <v>0</v>
      </c>
      <c r="K90" s="16">
        <v>0</v>
      </c>
      <c r="L90" s="16">
        <v>0</v>
      </c>
      <c r="M90" s="16">
        <v>0</v>
      </c>
    </row>
    <row r="91" spans="1:15" x14ac:dyDescent="0.35">
      <c r="B91" s="16" t="s">
        <v>74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</row>
    <row r="92" spans="1:15" x14ac:dyDescent="0.35">
      <c r="A92" s="16" t="s">
        <v>9</v>
      </c>
      <c r="B92" s="16" t="s">
        <v>11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</row>
    <row r="93" spans="1:15" x14ac:dyDescent="0.35">
      <c r="B93" s="16" t="s">
        <v>72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</row>
    <row r="94" spans="1:15" x14ac:dyDescent="0.35">
      <c r="B94" s="16" t="s">
        <v>18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</row>
    <row r="95" spans="1:15" x14ac:dyDescent="0.35">
      <c r="B95" s="16" t="s">
        <v>13</v>
      </c>
      <c r="D95" s="16">
        <v>0</v>
      </c>
      <c r="E95" s="16">
        <v>2</v>
      </c>
      <c r="F95" s="16">
        <v>2</v>
      </c>
      <c r="G95" s="16">
        <v>0</v>
      </c>
      <c r="H95" s="16">
        <v>0</v>
      </c>
      <c r="I95" s="16">
        <v>2</v>
      </c>
      <c r="J95" s="16">
        <v>0</v>
      </c>
      <c r="K95" s="16">
        <v>0</v>
      </c>
      <c r="L95" s="16">
        <v>0</v>
      </c>
      <c r="M95" s="16">
        <v>0</v>
      </c>
    </row>
    <row r="96" spans="1:15" x14ac:dyDescent="0.35">
      <c r="B96" s="16" t="s">
        <v>74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</row>
    <row r="98" spans="1:15" x14ac:dyDescent="0.35">
      <c r="A98" s="18" t="s">
        <v>84</v>
      </c>
      <c r="B98" s="20">
        <v>44646</v>
      </c>
      <c r="C98" s="16" t="s">
        <v>82</v>
      </c>
      <c r="D98" s="16" t="s">
        <v>3</v>
      </c>
      <c r="E98" s="16" t="s">
        <v>4</v>
      </c>
      <c r="F98" s="16" t="s">
        <v>10</v>
      </c>
      <c r="G98" s="16" t="s">
        <v>17</v>
      </c>
      <c r="H98" s="16" t="s">
        <v>19</v>
      </c>
      <c r="I98" s="16" t="s">
        <v>20</v>
      </c>
      <c r="J98" s="16" t="s">
        <v>21</v>
      </c>
      <c r="K98" s="16" t="s">
        <v>22</v>
      </c>
      <c r="L98" s="16" t="s">
        <v>23</v>
      </c>
      <c r="M98" s="16" t="s">
        <v>24</v>
      </c>
      <c r="N98" s="16" t="s">
        <v>15</v>
      </c>
    </row>
    <row r="99" spans="1:15" x14ac:dyDescent="0.35">
      <c r="A99" s="16" t="s">
        <v>5</v>
      </c>
      <c r="D99" s="16">
        <v>1</v>
      </c>
      <c r="E99" s="16">
        <v>0</v>
      </c>
      <c r="N99" s="16">
        <v>38</v>
      </c>
      <c r="O99" s="16" t="s">
        <v>43</v>
      </c>
    </row>
    <row r="100" spans="1:15" x14ac:dyDescent="0.35">
      <c r="A100" s="16" t="s">
        <v>6</v>
      </c>
      <c r="B100" s="16" t="s">
        <v>11</v>
      </c>
      <c r="D100" s="16">
        <v>1</v>
      </c>
      <c r="E100" s="16">
        <v>2</v>
      </c>
      <c r="F100" s="16">
        <v>3</v>
      </c>
      <c r="G100" s="16">
        <v>0</v>
      </c>
      <c r="H100" s="16">
        <v>0</v>
      </c>
      <c r="I100" s="16">
        <v>0</v>
      </c>
      <c r="J100" s="16">
        <v>3</v>
      </c>
      <c r="K100" s="16">
        <v>0</v>
      </c>
      <c r="L100" s="16">
        <v>0</v>
      </c>
      <c r="M100" s="16">
        <v>0</v>
      </c>
      <c r="N100" s="16">
        <v>2</v>
      </c>
      <c r="O100" s="16" t="s">
        <v>44</v>
      </c>
    </row>
    <row r="101" spans="1:15" x14ac:dyDescent="0.35">
      <c r="B101" s="16" t="s">
        <v>72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6</v>
      </c>
      <c r="O101" s="16" t="s">
        <v>45</v>
      </c>
    </row>
    <row r="102" spans="1:15" x14ac:dyDescent="0.35">
      <c r="B102" s="16" t="s">
        <v>18</v>
      </c>
      <c r="D102" s="16">
        <v>0</v>
      </c>
      <c r="E102" s="16">
        <v>1</v>
      </c>
      <c r="F102" s="16">
        <v>1</v>
      </c>
      <c r="G102" s="16">
        <v>0</v>
      </c>
      <c r="H102" s="16">
        <v>0</v>
      </c>
      <c r="I102" s="16">
        <v>1</v>
      </c>
      <c r="J102" s="16">
        <v>0</v>
      </c>
      <c r="K102" s="16">
        <v>0</v>
      </c>
      <c r="L102" s="16">
        <v>0</v>
      </c>
      <c r="M102" s="16">
        <v>0</v>
      </c>
      <c r="N102" s="16">
        <v>2.5333333333333332</v>
      </c>
      <c r="O102" s="16" t="s">
        <v>46</v>
      </c>
    </row>
    <row r="103" spans="1:15" x14ac:dyDescent="0.35">
      <c r="B103" s="16" t="s">
        <v>13</v>
      </c>
      <c r="D103" s="16">
        <v>3</v>
      </c>
      <c r="E103" s="16">
        <v>1</v>
      </c>
      <c r="F103" s="16">
        <v>3</v>
      </c>
      <c r="G103" s="16">
        <v>1</v>
      </c>
      <c r="H103" s="16">
        <v>0</v>
      </c>
      <c r="I103" s="16">
        <v>4</v>
      </c>
      <c r="J103" s="16">
        <v>0</v>
      </c>
      <c r="K103" s="16">
        <v>0</v>
      </c>
      <c r="L103" s="16">
        <v>0</v>
      </c>
      <c r="M103" s="16">
        <v>0</v>
      </c>
    </row>
    <row r="104" spans="1:15" x14ac:dyDescent="0.35">
      <c r="A104" s="16" t="s">
        <v>7</v>
      </c>
      <c r="B104" s="16" t="s">
        <v>11</v>
      </c>
      <c r="D104" s="16">
        <v>0</v>
      </c>
      <c r="E104" s="16">
        <v>1</v>
      </c>
      <c r="F104" s="16">
        <v>1</v>
      </c>
      <c r="G104" s="16">
        <v>0</v>
      </c>
      <c r="H104" s="16">
        <v>0</v>
      </c>
      <c r="I104" s="16">
        <v>0</v>
      </c>
      <c r="J104" s="16">
        <v>1</v>
      </c>
      <c r="K104" s="16">
        <v>0</v>
      </c>
      <c r="L104" s="16">
        <v>0</v>
      </c>
      <c r="M104" s="16">
        <v>0</v>
      </c>
    </row>
    <row r="105" spans="1:15" x14ac:dyDescent="0.35">
      <c r="B105" s="16" t="s">
        <v>72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</row>
    <row r="106" spans="1:15" x14ac:dyDescent="0.35">
      <c r="B106" s="16" t="s">
        <v>18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</row>
    <row r="107" spans="1:15" x14ac:dyDescent="0.35">
      <c r="B107" s="16" t="s">
        <v>13</v>
      </c>
      <c r="D107" s="16">
        <v>3</v>
      </c>
      <c r="E107" s="16">
        <v>1</v>
      </c>
      <c r="F107" s="16">
        <v>4</v>
      </c>
      <c r="G107" s="16">
        <v>0</v>
      </c>
      <c r="H107" s="16">
        <v>0</v>
      </c>
      <c r="I107" s="16">
        <v>4</v>
      </c>
      <c r="J107" s="16">
        <v>0</v>
      </c>
      <c r="K107" s="16">
        <v>0</v>
      </c>
      <c r="L107" s="16">
        <v>0</v>
      </c>
      <c r="M107" s="16">
        <v>0</v>
      </c>
    </row>
    <row r="108" spans="1:15" x14ac:dyDescent="0.35">
      <c r="A108" s="16" t="s">
        <v>8</v>
      </c>
      <c r="B108" s="16" t="s">
        <v>11</v>
      </c>
      <c r="D108" s="16">
        <v>1</v>
      </c>
      <c r="E108" s="16">
        <v>1</v>
      </c>
      <c r="F108" s="16">
        <v>2</v>
      </c>
      <c r="G108" s="16">
        <v>0</v>
      </c>
      <c r="H108" s="16">
        <v>0</v>
      </c>
      <c r="I108" s="16">
        <v>0</v>
      </c>
      <c r="J108" s="16">
        <v>2</v>
      </c>
      <c r="K108" s="16">
        <v>0</v>
      </c>
      <c r="L108" s="16">
        <v>0</v>
      </c>
      <c r="M108" s="16">
        <v>0</v>
      </c>
    </row>
    <row r="109" spans="1:15" x14ac:dyDescent="0.35">
      <c r="B109" s="16" t="s">
        <v>72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</row>
    <row r="110" spans="1:15" x14ac:dyDescent="0.35">
      <c r="B110" s="16" t="s">
        <v>18</v>
      </c>
      <c r="D110" s="16">
        <v>5</v>
      </c>
      <c r="E110" s="16">
        <v>1</v>
      </c>
      <c r="F110" s="16">
        <v>6</v>
      </c>
      <c r="G110" s="16">
        <v>0</v>
      </c>
      <c r="H110" s="16">
        <v>0</v>
      </c>
      <c r="I110" s="16">
        <v>6</v>
      </c>
      <c r="J110" s="16">
        <v>0</v>
      </c>
      <c r="K110" s="16">
        <v>0</v>
      </c>
      <c r="L110" s="16">
        <v>0</v>
      </c>
      <c r="M110" s="16">
        <v>0</v>
      </c>
    </row>
    <row r="111" spans="1:15" x14ac:dyDescent="0.35">
      <c r="B111" s="16" t="s">
        <v>13</v>
      </c>
      <c r="D111" s="16">
        <v>9</v>
      </c>
      <c r="E111" s="16">
        <v>13</v>
      </c>
      <c r="F111" s="16">
        <v>19</v>
      </c>
      <c r="G111" s="16">
        <v>3</v>
      </c>
      <c r="H111" s="16">
        <v>0</v>
      </c>
      <c r="I111" s="16">
        <v>20</v>
      </c>
      <c r="J111" s="16">
        <v>2</v>
      </c>
      <c r="K111" s="16">
        <v>0</v>
      </c>
      <c r="L111" s="16">
        <v>0</v>
      </c>
      <c r="M111" s="16">
        <v>0</v>
      </c>
    </row>
    <row r="112" spans="1:15" x14ac:dyDescent="0.35">
      <c r="B112" s="16" t="s">
        <v>74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</row>
    <row r="113" spans="1:15" x14ac:dyDescent="0.35">
      <c r="A113" s="16" t="s">
        <v>9</v>
      </c>
      <c r="B113" s="16" t="s">
        <v>11</v>
      </c>
      <c r="D113" s="16">
        <v>0</v>
      </c>
      <c r="E113" s="16">
        <v>1</v>
      </c>
      <c r="F113" s="16">
        <v>1</v>
      </c>
      <c r="G113" s="16">
        <v>0</v>
      </c>
      <c r="H113" s="16">
        <v>0</v>
      </c>
      <c r="I113" s="16">
        <v>0</v>
      </c>
      <c r="J113" s="16">
        <v>1</v>
      </c>
      <c r="K113" s="16">
        <v>0</v>
      </c>
      <c r="L113" s="16">
        <v>0</v>
      </c>
      <c r="M113" s="16">
        <v>0</v>
      </c>
    </row>
    <row r="114" spans="1:15" x14ac:dyDescent="0.35">
      <c r="B114" s="16" t="s">
        <v>72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</row>
    <row r="115" spans="1:15" x14ac:dyDescent="0.35">
      <c r="B115" s="16" t="s">
        <v>18</v>
      </c>
      <c r="D115" s="16">
        <v>1</v>
      </c>
      <c r="E115" s="16">
        <v>2</v>
      </c>
      <c r="F115" s="16">
        <v>3</v>
      </c>
      <c r="G115" s="16">
        <v>0</v>
      </c>
      <c r="H115" s="16">
        <v>0</v>
      </c>
      <c r="I115" s="16">
        <v>3</v>
      </c>
      <c r="J115" s="16">
        <v>0</v>
      </c>
      <c r="K115" s="16">
        <v>0</v>
      </c>
      <c r="L115" s="16">
        <v>0</v>
      </c>
      <c r="M115" s="16">
        <v>0</v>
      </c>
    </row>
    <row r="116" spans="1:15" x14ac:dyDescent="0.35">
      <c r="B116" s="16" t="s">
        <v>13</v>
      </c>
      <c r="D116" s="16">
        <v>0</v>
      </c>
      <c r="E116" s="16">
        <v>2</v>
      </c>
      <c r="F116" s="16">
        <v>1</v>
      </c>
      <c r="G116" s="16">
        <v>1</v>
      </c>
      <c r="H116" s="16">
        <v>0</v>
      </c>
      <c r="I116" s="16">
        <v>2</v>
      </c>
      <c r="J116" s="16">
        <v>0</v>
      </c>
      <c r="K116" s="16">
        <v>0</v>
      </c>
      <c r="L116" s="16">
        <v>0</v>
      </c>
      <c r="M116" s="16">
        <v>1</v>
      </c>
    </row>
    <row r="117" spans="1:15" x14ac:dyDescent="0.35">
      <c r="B117" s="16" t="s">
        <v>74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</row>
    <row r="119" spans="1:15" x14ac:dyDescent="0.35">
      <c r="A119" s="18" t="s">
        <v>84</v>
      </c>
      <c r="B119" s="20">
        <v>44646</v>
      </c>
      <c r="C119" s="16" t="s">
        <v>62</v>
      </c>
      <c r="D119" s="16" t="s">
        <v>3</v>
      </c>
      <c r="E119" s="16" t="s">
        <v>4</v>
      </c>
      <c r="F119" s="16" t="s">
        <v>10</v>
      </c>
      <c r="G119" s="16" t="s">
        <v>17</v>
      </c>
      <c r="H119" s="16" t="s">
        <v>19</v>
      </c>
      <c r="I119" s="16" t="s">
        <v>20</v>
      </c>
      <c r="J119" s="16" t="s">
        <v>21</v>
      </c>
      <c r="K119" s="16" t="s">
        <v>22</v>
      </c>
      <c r="L119" s="16" t="s">
        <v>23</v>
      </c>
      <c r="M119" s="16" t="s">
        <v>24</v>
      </c>
      <c r="N119" s="16" t="s">
        <v>15</v>
      </c>
    </row>
    <row r="120" spans="1:15" x14ac:dyDescent="0.35">
      <c r="A120" s="16" t="s">
        <v>5</v>
      </c>
      <c r="D120" s="16">
        <v>0</v>
      </c>
      <c r="E120" s="16">
        <v>2</v>
      </c>
      <c r="N120" s="16">
        <v>22</v>
      </c>
      <c r="O120" s="16" t="s">
        <v>43</v>
      </c>
    </row>
    <row r="121" spans="1:15" x14ac:dyDescent="0.35">
      <c r="A121" s="16" t="s">
        <v>6</v>
      </c>
      <c r="B121" s="16" t="s">
        <v>11</v>
      </c>
      <c r="D121" s="16">
        <v>0</v>
      </c>
      <c r="E121" s="16">
        <v>3</v>
      </c>
      <c r="F121" s="16">
        <v>3</v>
      </c>
      <c r="G121" s="16">
        <v>0</v>
      </c>
      <c r="H121" s="16">
        <v>0</v>
      </c>
      <c r="I121" s="16">
        <v>0</v>
      </c>
      <c r="J121" s="16">
        <v>3</v>
      </c>
      <c r="K121" s="16">
        <v>0</v>
      </c>
      <c r="L121" s="16">
        <v>0</v>
      </c>
      <c r="M121" s="16">
        <v>0</v>
      </c>
      <c r="N121" s="16">
        <v>2</v>
      </c>
      <c r="O121" s="16" t="s">
        <v>44</v>
      </c>
    </row>
    <row r="122" spans="1:15" x14ac:dyDescent="0.35">
      <c r="B122" s="16" t="s">
        <v>72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3</v>
      </c>
      <c r="O122" s="16" t="s">
        <v>45</v>
      </c>
    </row>
    <row r="123" spans="1:15" x14ac:dyDescent="0.35">
      <c r="B123" s="16" t="s">
        <v>18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2.2000000000000002</v>
      </c>
      <c r="O123" s="16" t="s">
        <v>46</v>
      </c>
    </row>
    <row r="124" spans="1:15" x14ac:dyDescent="0.35">
      <c r="B124" s="16" t="s">
        <v>13</v>
      </c>
      <c r="D124" s="16">
        <v>0</v>
      </c>
      <c r="E124" s="16">
        <v>1</v>
      </c>
      <c r="F124" s="16">
        <v>1</v>
      </c>
      <c r="G124" s="16">
        <v>0</v>
      </c>
      <c r="H124" s="16">
        <v>0</v>
      </c>
      <c r="I124" s="16">
        <v>1</v>
      </c>
      <c r="J124" s="16">
        <v>0</v>
      </c>
      <c r="K124" s="16">
        <v>0</v>
      </c>
      <c r="L124" s="16">
        <v>0</v>
      </c>
      <c r="M124" s="16">
        <v>0</v>
      </c>
    </row>
    <row r="125" spans="1:15" x14ac:dyDescent="0.35">
      <c r="A125" s="16" t="s">
        <v>7</v>
      </c>
      <c r="B125" s="16" t="s">
        <v>11</v>
      </c>
      <c r="D125" s="16">
        <v>2</v>
      </c>
      <c r="E125" s="16">
        <v>1</v>
      </c>
      <c r="F125" s="16">
        <v>3</v>
      </c>
      <c r="G125" s="16">
        <v>0</v>
      </c>
      <c r="H125" s="16">
        <v>0</v>
      </c>
      <c r="I125" s="16">
        <v>0</v>
      </c>
      <c r="J125" s="16">
        <v>3</v>
      </c>
      <c r="K125" s="16">
        <v>0</v>
      </c>
      <c r="L125" s="16">
        <v>0</v>
      </c>
      <c r="M125" s="16">
        <v>0</v>
      </c>
    </row>
    <row r="126" spans="1:15" x14ac:dyDescent="0.35">
      <c r="B126" s="16" t="s">
        <v>72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pans="1:15" x14ac:dyDescent="0.35">
      <c r="B127" s="16" t="s">
        <v>18</v>
      </c>
      <c r="D127" s="16">
        <v>1</v>
      </c>
      <c r="E127" s="16">
        <v>1</v>
      </c>
      <c r="F127" s="16">
        <v>2</v>
      </c>
      <c r="G127" s="16">
        <v>0</v>
      </c>
      <c r="H127" s="16">
        <v>0</v>
      </c>
      <c r="I127" s="16">
        <v>2</v>
      </c>
      <c r="J127" s="16">
        <v>0</v>
      </c>
      <c r="K127" s="16">
        <v>0</v>
      </c>
      <c r="L127" s="16">
        <v>0</v>
      </c>
      <c r="M127" s="16">
        <v>0</v>
      </c>
    </row>
    <row r="128" spans="1:15" x14ac:dyDescent="0.35">
      <c r="B128" s="16" t="s">
        <v>13</v>
      </c>
      <c r="D128" s="16">
        <v>2</v>
      </c>
      <c r="E128" s="16">
        <v>2</v>
      </c>
      <c r="F128" s="16">
        <v>4</v>
      </c>
      <c r="G128" s="16">
        <v>0</v>
      </c>
      <c r="H128" s="16">
        <v>0</v>
      </c>
      <c r="I128" s="16">
        <v>4</v>
      </c>
      <c r="J128" s="16">
        <v>0</v>
      </c>
      <c r="K128" s="16">
        <v>0</v>
      </c>
      <c r="L128" s="16">
        <v>0</v>
      </c>
      <c r="M128" s="16">
        <v>0</v>
      </c>
    </row>
    <row r="129" spans="1:15" x14ac:dyDescent="0.35">
      <c r="A129" s="16" t="s">
        <v>8</v>
      </c>
      <c r="B129" s="16" t="s">
        <v>11</v>
      </c>
      <c r="D129" s="16">
        <v>2</v>
      </c>
      <c r="E129" s="16">
        <v>1</v>
      </c>
      <c r="F129" s="16">
        <v>3</v>
      </c>
      <c r="G129" s="16">
        <v>0</v>
      </c>
      <c r="H129" s="16">
        <v>0</v>
      </c>
      <c r="I129" s="16">
        <v>0</v>
      </c>
      <c r="J129" s="16">
        <v>3</v>
      </c>
      <c r="K129" s="16">
        <v>0</v>
      </c>
      <c r="L129" s="16">
        <v>0</v>
      </c>
      <c r="M129" s="16">
        <v>0</v>
      </c>
    </row>
    <row r="130" spans="1:15" x14ac:dyDescent="0.35">
      <c r="B130" s="16" t="s">
        <v>72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</row>
    <row r="131" spans="1:15" x14ac:dyDescent="0.35">
      <c r="B131" s="16" t="s">
        <v>18</v>
      </c>
      <c r="D131" s="16">
        <v>1</v>
      </c>
      <c r="E131" s="16">
        <v>5</v>
      </c>
      <c r="F131" s="16">
        <v>6</v>
      </c>
      <c r="G131" s="16">
        <v>0</v>
      </c>
      <c r="H131" s="16">
        <v>0</v>
      </c>
      <c r="I131" s="16">
        <v>6</v>
      </c>
      <c r="J131" s="16">
        <v>0</v>
      </c>
      <c r="K131" s="16">
        <v>0</v>
      </c>
      <c r="L131" s="16">
        <v>0</v>
      </c>
      <c r="M131" s="16">
        <v>0</v>
      </c>
    </row>
    <row r="132" spans="1:15" x14ac:dyDescent="0.35">
      <c r="B132" s="16" t="s">
        <v>13</v>
      </c>
      <c r="D132" s="16">
        <v>5</v>
      </c>
      <c r="E132" s="16">
        <v>5</v>
      </c>
      <c r="F132" s="16">
        <v>10</v>
      </c>
      <c r="G132" s="16">
        <v>0</v>
      </c>
      <c r="H132" s="16">
        <v>0</v>
      </c>
      <c r="I132" s="16">
        <v>9</v>
      </c>
      <c r="J132" s="16">
        <v>1</v>
      </c>
      <c r="K132" s="16">
        <v>0</v>
      </c>
      <c r="L132" s="16">
        <v>0</v>
      </c>
      <c r="M132" s="16">
        <v>0</v>
      </c>
    </row>
    <row r="133" spans="1:15" x14ac:dyDescent="0.35">
      <c r="B133" s="16" t="s">
        <v>74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</row>
    <row r="134" spans="1:15" x14ac:dyDescent="0.35">
      <c r="A134" s="16" t="s">
        <v>9</v>
      </c>
      <c r="B134" s="16" t="s">
        <v>11</v>
      </c>
      <c r="D134" s="16">
        <v>0</v>
      </c>
      <c r="E134" s="16">
        <v>1</v>
      </c>
      <c r="F134" s="16">
        <v>1</v>
      </c>
      <c r="G134" s="16">
        <v>0</v>
      </c>
      <c r="H134" s="16">
        <v>0</v>
      </c>
      <c r="I134" s="16">
        <v>0</v>
      </c>
      <c r="J134" s="16">
        <v>1</v>
      </c>
      <c r="K134" s="16">
        <v>0</v>
      </c>
      <c r="L134" s="16">
        <v>0</v>
      </c>
      <c r="M134" s="16">
        <v>0</v>
      </c>
    </row>
    <row r="135" spans="1:15" x14ac:dyDescent="0.35">
      <c r="B135" s="16" t="s">
        <v>72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</row>
    <row r="136" spans="1:15" x14ac:dyDescent="0.35">
      <c r="B136" s="16" t="s">
        <v>18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</row>
    <row r="137" spans="1:15" x14ac:dyDescent="0.35">
      <c r="B137" s="16" t="s">
        <v>13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</row>
    <row r="138" spans="1:15" x14ac:dyDescent="0.35">
      <c r="B138" s="16" t="s">
        <v>74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</row>
    <row r="140" spans="1:15" x14ac:dyDescent="0.35">
      <c r="A140" s="18" t="s">
        <v>84</v>
      </c>
      <c r="B140" s="20">
        <v>44647</v>
      </c>
      <c r="C140" s="16" t="s">
        <v>42</v>
      </c>
      <c r="D140" s="16" t="s">
        <v>3</v>
      </c>
      <c r="E140" s="16" t="s">
        <v>4</v>
      </c>
      <c r="F140" s="16" t="s">
        <v>10</v>
      </c>
      <c r="G140" s="16" t="s">
        <v>17</v>
      </c>
      <c r="H140" s="16" t="s">
        <v>19</v>
      </c>
      <c r="I140" s="16" t="s">
        <v>20</v>
      </c>
      <c r="J140" s="16" t="s">
        <v>21</v>
      </c>
      <c r="K140" s="16" t="s">
        <v>22</v>
      </c>
      <c r="L140" s="16" t="s">
        <v>23</v>
      </c>
      <c r="M140" s="16" t="s">
        <v>24</v>
      </c>
      <c r="N140" s="16" t="s">
        <v>15</v>
      </c>
    </row>
    <row r="141" spans="1:15" x14ac:dyDescent="0.35">
      <c r="A141" s="16" t="s">
        <v>5</v>
      </c>
      <c r="D141" s="16">
        <v>0</v>
      </c>
      <c r="E141" s="16">
        <v>0</v>
      </c>
      <c r="N141" s="16">
        <v>17</v>
      </c>
      <c r="O141" s="16" t="s">
        <v>43</v>
      </c>
    </row>
    <row r="142" spans="1:15" x14ac:dyDescent="0.35">
      <c r="A142" s="16" t="s">
        <v>6</v>
      </c>
      <c r="B142" s="16" t="s">
        <v>11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2</v>
      </c>
      <c r="O142" s="16" t="s">
        <v>44</v>
      </c>
    </row>
    <row r="143" spans="1:15" x14ac:dyDescent="0.35">
      <c r="B143" s="16" t="s">
        <v>72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9</v>
      </c>
      <c r="O143" s="16" t="s">
        <v>45</v>
      </c>
    </row>
    <row r="144" spans="1:15" x14ac:dyDescent="0.35">
      <c r="B144" s="16" t="s">
        <v>18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3.4</v>
      </c>
      <c r="O144" s="16" t="s">
        <v>46</v>
      </c>
    </row>
    <row r="145" spans="1:13" x14ac:dyDescent="0.35">
      <c r="B145" s="16" t="s">
        <v>13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</row>
    <row r="146" spans="1:13" x14ac:dyDescent="0.35">
      <c r="A146" s="16" t="s">
        <v>7</v>
      </c>
      <c r="B146" s="16" t="s">
        <v>11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</row>
    <row r="147" spans="1:13" x14ac:dyDescent="0.35">
      <c r="B147" s="16" t="s">
        <v>72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</row>
    <row r="148" spans="1:13" x14ac:dyDescent="0.35">
      <c r="B148" s="16" t="s">
        <v>18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</row>
    <row r="149" spans="1:13" x14ac:dyDescent="0.35">
      <c r="B149" s="16" t="s">
        <v>13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</row>
    <row r="150" spans="1:13" x14ac:dyDescent="0.35">
      <c r="A150" s="16" t="s">
        <v>8</v>
      </c>
      <c r="B150" s="16" t="s">
        <v>11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</row>
    <row r="151" spans="1:13" x14ac:dyDescent="0.35">
      <c r="B151" s="16" t="s">
        <v>72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</row>
    <row r="152" spans="1:13" x14ac:dyDescent="0.35">
      <c r="B152" s="16" t="s">
        <v>18</v>
      </c>
      <c r="D152" s="16">
        <v>5</v>
      </c>
      <c r="E152" s="16">
        <v>8</v>
      </c>
      <c r="F152" s="16">
        <v>13</v>
      </c>
      <c r="G152" s="16">
        <v>0</v>
      </c>
      <c r="H152" s="16">
        <v>0</v>
      </c>
      <c r="I152" s="16">
        <v>13</v>
      </c>
      <c r="J152" s="16">
        <v>0</v>
      </c>
      <c r="K152" s="16">
        <v>0</v>
      </c>
      <c r="L152" s="16">
        <v>0</v>
      </c>
      <c r="M152" s="16">
        <v>0</v>
      </c>
    </row>
    <row r="153" spans="1:13" x14ac:dyDescent="0.35">
      <c r="B153" s="16" t="s">
        <v>13</v>
      </c>
      <c r="D153" s="16">
        <v>5</v>
      </c>
      <c r="E153" s="16">
        <v>8</v>
      </c>
      <c r="F153" s="16">
        <v>13</v>
      </c>
      <c r="G153" s="16">
        <v>0</v>
      </c>
      <c r="H153" s="16">
        <v>0</v>
      </c>
      <c r="I153" s="16">
        <v>6</v>
      </c>
      <c r="J153" s="16">
        <v>7</v>
      </c>
      <c r="K153" s="16">
        <v>0</v>
      </c>
      <c r="L153" s="16">
        <v>0</v>
      </c>
      <c r="M153" s="16">
        <v>0</v>
      </c>
    </row>
    <row r="154" spans="1:13" x14ac:dyDescent="0.35">
      <c r="B154" s="16" t="s">
        <v>74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</row>
    <row r="155" spans="1:13" x14ac:dyDescent="0.35">
      <c r="A155" s="16" t="s">
        <v>9</v>
      </c>
      <c r="B155" s="16" t="s">
        <v>11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</row>
    <row r="156" spans="1:13" x14ac:dyDescent="0.35">
      <c r="B156" s="16" t="s">
        <v>72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</row>
    <row r="157" spans="1:13" x14ac:dyDescent="0.35">
      <c r="B157" s="16" t="s">
        <v>18</v>
      </c>
      <c r="D157" s="16">
        <v>0</v>
      </c>
      <c r="E157" s="16">
        <v>1</v>
      </c>
      <c r="F157" s="16">
        <v>1</v>
      </c>
      <c r="G157" s="16">
        <v>0</v>
      </c>
      <c r="H157" s="16">
        <v>0</v>
      </c>
      <c r="I157" s="16">
        <v>1</v>
      </c>
      <c r="J157" s="16">
        <v>0</v>
      </c>
      <c r="K157" s="16">
        <v>0</v>
      </c>
      <c r="L157" s="16">
        <v>0</v>
      </c>
      <c r="M157" s="16">
        <v>0</v>
      </c>
    </row>
    <row r="158" spans="1:13" x14ac:dyDescent="0.35">
      <c r="B158" s="16" t="s">
        <v>13</v>
      </c>
      <c r="D158" s="16">
        <v>0</v>
      </c>
      <c r="E158" s="16">
        <v>3</v>
      </c>
      <c r="F158" s="16">
        <v>3</v>
      </c>
      <c r="G158" s="16">
        <v>0</v>
      </c>
      <c r="H158" s="16">
        <v>0</v>
      </c>
      <c r="I158" s="16">
        <v>1</v>
      </c>
      <c r="J158" s="16">
        <v>2</v>
      </c>
      <c r="K158" s="16">
        <v>0</v>
      </c>
      <c r="L158" s="16">
        <v>0</v>
      </c>
      <c r="M158" s="16">
        <v>0</v>
      </c>
    </row>
    <row r="159" spans="1:13" x14ac:dyDescent="0.35">
      <c r="B159" s="16" t="s">
        <v>74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</row>
    <row r="161" spans="1:16" x14ac:dyDescent="0.35">
      <c r="A161" s="18" t="s">
        <v>84</v>
      </c>
      <c r="B161" s="20">
        <v>44647</v>
      </c>
      <c r="C161" s="16" t="s">
        <v>81</v>
      </c>
      <c r="D161" s="16" t="s">
        <v>3</v>
      </c>
      <c r="E161" s="16" t="s">
        <v>4</v>
      </c>
      <c r="F161" s="16" t="s">
        <v>10</v>
      </c>
      <c r="G161" s="16" t="s">
        <v>17</v>
      </c>
      <c r="H161" s="16" t="s">
        <v>19</v>
      </c>
      <c r="I161" s="16" t="s">
        <v>20</v>
      </c>
      <c r="J161" s="16" t="s">
        <v>21</v>
      </c>
      <c r="K161" s="16" t="s">
        <v>22</v>
      </c>
      <c r="L161" s="16" t="s">
        <v>23</v>
      </c>
      <c r="M161" s="16" t="s">
        <v>24</v>
      </c>
      <c r="N161" s="16" t="s">
        <v>15</v>
      </c>
    </row>
    <row r="162" spans="1:16" x14ac:dyDescent="0.35">
      <c r="A162" s="16" t="s">
        <v>5</v>
      </c>
      <c r="D162" s="16">
        <v>0</v>
      </c>
      <c r="E162" s="16">
        <v>0</v>
      </c>
      <c r="N162" s="16">
        <v>6</v>
      </c>
      <c r="O162" s="16" t="s">
        <v>43</v>
      </c>
    </row>
    <row r="163" spans="1:16" x14ac:dyDescent="0.35">
      <c r="A163" s="16" t="s">
        <v>6</v>
      </c>
      <c r="B163" s="16" t="s">
        <v>11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2</v>
      </c>
      <c r="O163" s="16" t="s">
        <v>44</v>
      </c>
    </row>
    <row r="164" spans="1:16" x14ac:dyDescent="0.35">
      <c r="B164" s="16" t="s">
        <v>72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2</v>
      </c>
      <c r="O164" s="16" t="s">
        <v>45</v>
      </c>
    </row>
    <row r="165" spans="1:16" x14ac:dyDescent="0.35">
      <c r="B165" s="16" t="s">
        <v>18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2</v>
      </c>
      <c r="O165" s="16" t="s">
        <v>46</v>
      </c>
    </row>
    <row r="166" spans="1:16" x14ac:dyDescent="0.35">
      <c r="B166" s="16" t="s">
        <v>13</v>
      </c>
      <c r="D166" s="16">
        <v>1</v>
      </c>
      <c r="E166" s="16">
        <v>0</v>
      </c>
      <c r="F166" s="16">
        <v>0</v>
      </c>
      <c r="G166" s="16">
        <v>1</v>
      </c>
      <c r="H166" s="16">
        <v>0</v>
      </c>
      <c r="I166" s="16">
        <v>1</v>
      </c>
      <c r="J166" s="16">
        <v>0</v>
      </c>
      <c r="K166" s="16">
        <v>0</v>
      </c>
      <c r="L166" s="16">
        <v>0</v>
      </c>
      <c r="M166" s="16">
        <v>0</v>
      </c>
    </row>
    <row r="167" spans="1:16" x14ac:dyDescent="0.35">
      <c r="A167" s="16" t="s">
        <v>7</v>
      </c>
      <c r="B167" s="16" t="s">
        <v>11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O167" s="21"/>
      <c r="P167" s="21"/>
    </row>
    <row r="168" spans="1:16" x14ac:dyDescent="0.35">
      <c r="B168" s="16" t="s">
        <v>72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O168" s="21"/>
      <c r="P168" s="21"/>
    </row>
    <row r="169" spans="1:16" x14ac:dyDescent="0.35">
      <c r="B169" s="16" t="s">
        <v>18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</row>
    <row r="170" spans="1:16" x14ac:dyDescent="0.35">
      <c r="B170" s="16" t="s">
        <v>13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</row>
    <row r="171" spans="1:16" x14ac:dyDescent="0.35">
      <c r="A171" s="16" t="s">
        <v>8</v>
      </c>
      <c r="B171" s="16" t="s">
        <v>11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</row>
    <row r="172" spans="1:16" x14ac:dyDescent="0.35">
      <c r="B172" s="16" t="s">
        <v>72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</row>
    <row r="173" spans="1:16" x14ac:dyDescent="0.35">
      <c r="B173" s="16" t="s">
        <v>18</v>
      </c>
      <c r="D173" s="16">
        <v>1</v>
      </c>
      <c r="E173" s="16">
        <v>2</v>
      </c>
      <c r="F173" s="16">
        <v>3</v>
      </c>
      <c r="G173" s="16">
        <v>0</v>
      </c>
      <c r="H173" s="16">
        <v>0</v>
      </c>
      <c r="I173" s="16">
        <v>3</v>
      </c>
      <c r="J173" s="16">
        <v>0</v>
      </c>
      <c r="K173" s="16">
        <v>0</v>
      </c>
      <c r="L173" s="16">
        <v>0</v>
      </c>
      <c r="M173" s="16">
        <v>0</v>
      </c>
    </row>
    <row r="174" spans="1:16" x14ac:dyDescent="0.35">
      <c r="B174" s="16" t="s">
        <v>13</v>
      </c>
      <c r="D174" s="16">
        <v>1</v>
      </c>
      <c r="E174" s="16">
        <v>3</v>
      </c>
      <c r="F174" s="16">
        <v>3</v>
      </c>
      <c r="G174" s="16">
        <v>1</v>
      </c>
      <c r="H174" s="16">
        <v>0</v>
      </c>
      <c r="I174" s="16">
        <v>4</v>
      </c>
      <c r="J174" s="16">
        <v>0</v>
      </c>
      <c r="K174" s="16">
        <v>0</v>
      </c>
      <c r="L174" s="16">
        <v>0</v>
      </c>
      <c r="M174" s="16">
        <v>0</v>
      </c>
    </row>
    <row r="175" spans="1:16" x14ac:dyDescent="0.35">
      <c r="B175" s="16" t="s">
        <v>74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</row>
    <row r="176" spans="1:16" x14ac:dyDescent="0.35">
      <c r="A176" s="16" t="s">
        <v>9</v>
      </c>
      <c r="B176" s="16" t="s">
        <v>11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</row>
    <row r="177" spans="1:15" x14ac:dyDescent="0.35">
      <c r="B177" s="16" t="s">
        <v>72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</row>
    <row r="178" spans="1:15" x14ac:dyDescent="0.35">
      <c r="B178" s="16" t="s">
        <v>18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</row>
    <row r="179" spans="1:15" x14ac:dyDescent="0.35">
      <c r="B179" s="16" t="s">
        <v>13</v>
      </c>
      <c r="D179" s="16">
        <v>2</v>
      </c>
      <c r="E179" s="16">
        <v>2</v>
      </c>
      <c r="F179" s="16">
        <v>4</v>
      </c>
      <c r="G179" s="16">
        <v>0</v>
      </c>
      <c r="H179" s="16">
        <v>0</v>
      </c>
      <c r="I179" s="16">
        <v>4</v>
      </c>
      <c r="J179" s="16">
        <v>0</v>
      </c>
      <c r="K179" s="16">
        <v>0</v>
      </c>
      <c r="L179" s="16">
        <v>0</v>
      </c>
      <c r="M179" s="16">
        <v>0</v>
      </c>
    </row>
    <row r="180" spans="1:15" x14ac:dyDescent="0.35">
      <c r="B180" s="16" t="s">
        <v>74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</row>
    <row r="182" spans="1:15" x14ac:dyDescent="0.35">
      <c r="A182" s="18" t="s">
        <v>84</v>
      </c>
      <c r="B182" s="20">
        <v>44647</v>
      </c>
      <c r="C182" s="16" t="s">
        <v>82</v>
      </c>
      <c r="D182" s="16" t="s">
        <v>3</v>
      </c>
      <c r="E182" s="16" t="s">
        <v>4</v>
      </c>
      <c r="F182" s="16" t="s">
        <v>10</v>
      </c>
      <c r="G182" s="16" t="s">
        <v>17</v>
      </c>
      <c r="H182" s="16" t="s">
        <v>19</v>
      </c>
      <c r="I182" s="16" t="s">
        <v>20</v>
      </c>
      <c r="J182" s="16" t="s">
        <v>21</v>
      </c>
      <c r="K182" s="16" t="s">
        <v>22</v>
      </c>
      <c r="L182" s="16" t="s">
        <v>23</v>
      </c>
      <c r="M182" s="16" t="s">
        <v>24</v>
      </c>
      <c r="N182" s="16" t="s">
        <v>15</v>
      </c>
    </row>
    <row r="183" spans="1:15" x14ac:dyDescent="0.35">
      <c r="A183" s="16" t="s">
        <v>5</v>
      </c>
      <c r="D183" s="16">
        <v>0</v>
      </c>
      <c r="E183" s="16">
        <v>0</v>
      </c>
      <c r="N183" s="16">
        <v>34</v>
      </c>
      <c r="O183" s="16" t="s">
        <v>43</v>
      </c>
    </row>
    <row r="184" spans="1:15" x14ac:dyDescent="0.35">
      <c r="A184" s="16" t="s">
        <v>6</v>
      </c>
      <c r="B184" s="16" t="s">
        <v>11</v>
      </c>
      <c r="D184" s="16">
        <v>2</v>
      </c>
      <c r="E184" s="16">
        <v>1</v>
      </c>
      <c r="F184" s="16">
        <v>3</v>
      </c>
      <c r="G184" s="16">
        <v>0</v>
      </c>
      <c r="H184" s="16">
        <v>0</v>
      </c>
      <c r="I184" s="16">
        <v>0</v>
      </c>
      <c r="J184" s="16">
        <v>3</v>
      </c>
      <c r="K184" s="16">
        <v>0</v>
      </c>
      <c r="L184" s="16">
        <v>0</v>
      </c>
      <c r="M184" s="16">
        <v>0</v>
      </c>
      <c r="N184" s="16">
        <v>2</v>
      </c>
      <c r="O184" s="16" t="s">
        <v>44</v>
      </c>
    </row>
    <row r="185" spans="1:15" x14ac:dyDescent="0.35">
      <c r="B185" s="16" t="s">
        <v>72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5</v>
      </c>
      <c r="O185" s="16" t="s">
        <v>45</v>
      </c>
    </row>
    <row r="186" spans="1:15" x14ac:dyDescent="0.35">
      <c r="B186" s="16" t="s">
        <v>18</v>
      </c>
      <c r="D186" s="16">
        <v>3</v>
      </c>
      <c r="E186" s="16">
        <v>2</v>
      </c>
      <c r="F186" s="16">
        <v>5</v>
      </c>
      <c r="G186" s="16">
        <v>0</v>
      </c>
      <c r="H186" s="16">
        <v>0</v>
      </c>
      <c r="I186" s="16">
        <v>5</v>
      </c>
      <c r="J186" s="16">
        <v>0</v>
      </c>
      <c r="K186" s="16">
        <v>0</v>
      </c>
      <c r="L186" s="16">
        <v>0</v>
      </c>
      <c r="M186" s="16">
        <v>2</v>
      </c>
      <c r="N186" s="16">
        <v>2.8333333333333335</v>
      </c>
      <c r="O186" s="16" t="s">
        <v>46</v>
      </c>
    </row>
    <row r="187" spans="1:15" x14ac:dyDescent="0.35">
      <c r="B187" s="16" t="s">
        <v>13</v>
      </c>
      <c r="D187" s="16">
        <v>2</v>
      </c>
      <c r="E187" s="16">
        <v>1</v>
      </c>
      <c r="F187" s="16">
        <v>3</v>
      </c>
      <c r="G187" s="16">
        <v>0</v>
      </c>
      <c r="H187" s="16">
        <v>0</v>
      </c>
      <c r="I187" s="16">
        <v>3</v>
      </c>
      <c r="J187" s="16">
        <v>0</v>
      </c>
      <c r="K187" s="16">
        <v>0</v>
      </c>
      <c r="L187" s="16">
        <v>0</v>
      </c>
      <c r="M187" s="16">
        <v>1</v>
      </c>
    </row>
    <row r="188" spans="1:15" x14ac:dyDescent="0.35">
      <c r="A188" s="16" t="s">
        <v>7</v>
      </c>
      <c r="B188" s="16" t="s">
        <v>11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</row>
    <row r="189" spans="1:15" x14ac:dyDescent="0.35">
      <c r="B189" s="16" t="s">
        <v>72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</row>
    <row r="190" spans="1:15" x14ac:dyDescent="0.35">
      <c r="B190" s="16" t="s">
        <v>18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</row>
    <row r="191" spans="1:15" x14ac:dyDescent="0.35">
      <c r="B191" s="16" t="s">
        <v>13</v>
      </c>
      <c r="D191" s="16">
        <v>3</v>
      </c>
      <c r="E191" s="16">
        <v>0</v>
      </c>
      <c r="F191" s="16">
        <v>3</v>
      </c>
      <c r="G191" s="16">
        <v>0</v>
      </c>
      <c r="H191" s="16">
        <v>0</v>
      </c>
      <c r="I191" s="16">
        <v>3</v>
      </c>
      <c r="J191" s="16">
        <v>0</v>
      </c>
      <c r="K191" s="16">
        <v>0</v>
      </c>
      <c r="L191" s="16">
        <v>0</v>
      </c>
      <c r="M191" s="16">
        <v>0</v>
      </c>
    </row>
    <row r="192" spans="1:15" x14ac:dyDescent="0.35">
      <c r="A192" s="16" t="s">
        <v>8</v>
      </c>
      <c r="B192" s="16" t="s">
        <v>11</v>
      </c>
      <c r="D192" s="16">
        <v>0</v>
      </c>
      <c r="E192" s="16">
        <v>1</v>
      </c>
      <c r="F192" s="16">
        <v>1</v>
      </c>
      <c r="G192" s="16">
        <v>0</v>
      </c>
      <c r="H192" s="16">
        <v>0</v>
      </c>
      <c r="I192" s="16">
        <v>0</v>
      </c>
      <c r="J192" s="16">
        <v>1</v>
      </c>
      <c r="K192" s="16">
        <v>0</v>
      </c>
      <c r="L192" s="16">
        <v>0</v>
      </c>
      <c r="M192" s="16">
        <v>0</v>
      </c>
    </row>
    <row r="193" spans="1:15" x14ac:dyDescent="0.35">
      <c r="B193" s="16" t="s">
        <v>72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</row>
    <row r="194" spans="1:15" x14ac:dyDescent="0.35">
      <c r="B194" s="16" t="s">
        <v>18</v>
      </c>
      <c r="D194" s="16">
        <v>6</v>
      </c>
      <c r="E194" s="16">
        <v>7</v>
      </c>
      <c r="F194" s="16">
        <v>13</v>
      </c>
      <c r="G194" s="16">
        <v>0</v>
      </c>
      <c r="H194" s="16">
        <v>0</v>
      </c>
      <c r="I194" s="16">
        <v>13</v>
      </c>
      <c r="J194" s="16">
        <v>0</v>
      </c>
      <c r="K194" s="16">
        <v>0</v>
      </c>
      <c r="L194" s="16">
        <v>0</v>
      </c>
      <c r="M194" s="16">
        <v>0</v>
      </c>
    </row>
    <row r="195" spans="1:15" x14ac:dyDescent="0.35">
      <c r="B195" s="16" t="s">
        <v>13</v>
      </c>
      <c r="D195" s="16">
        <v>3</v>
      </c>
      <c r="E195" s="16">
        <v>0</v>
      </c>
      <c r="F195" s="16">
        <v>3</v>
      </c>
      <c r="G195" s="16">
        <v>0</v>
      </c>
      <c r="H195" s="16">
        <v>0</v>
      </c>
      <c r="I195" s="16">
        <v>3</v>
      </c>
      <c r="J195" s="16">
        <v>0</v>
      </c>
      <c r="K195" s="16">
        <v>0</v>
      </c>
      <c r="L195" s="16">
        <v>0</v>
      </c>
      <c r="M195" s="16">
        <v>0</v>
      </c>
    </row>
    <row r="196" spans="1:15" x14ac:dyDescent="0.35">
      <c r="B196" s="16" t="s">
        <v>74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</row>
    <row r="197" spans="1:15" x14ac:dyDescent="0.35">
      <c r="A197" s="16" t="s">
        <v>9</v>
      </c>
      <c r="B197" s="16" t="s">
        <v>11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</row>
    <row r="198" spans="1:15" x14ac:dyDescent="0.35">
      <c r="B198" s="16" t="s">
        <v>72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</row>
    <row r="199" spans="1:15" x14ac:dyDescent="0.35">
      <c r="B199" s="16" t="s">
        <v>18</v>
      </c>
      <c r="D199" s="16">
        <v>1</v>
      </c>
      <c r="E199" s="16">
        <v>0</v>
      </c>
      <c r="F199" s="16">
        <v>1</v>
      </c>
      <c r="G199" s="16">
        <v>0</v>
      </c>
      <c r="H199" s="16">
        <v>0</v>
      </c>
      <c r="I199" s="16">
        <v>1</v>
      </c>
      <c r="J199" s="16">
        <v>0</v>
      </c>
      <c r="K199" s="16">
        <v>0</v>
      </c>
      <c r="L199" s="16">
        <v>0</v>
      </c>
      <c r="M199" s="16">
        <v>0</v>
      </c>
    </row>
    <row r="200" spans="1:15" x14ac:dyDescent="0.35">
      <c r="B200" s="16" t="s">
        <v>13</v>
      </c>
      <c r="D200" s="16">
        <v>3</v>
      </c>
      <c r="E200" s="16">
        <v>3</v>
      </c>
      <c r="F200" s="16">
        <v>6</v>
      </c>
      <c r="G200" s="16">
        <v>0</v>
      </c>
      <c r="H200" s="16">
        <v>0</v>
      </c>
      <c r="I200" s="16">
        <v>6</v>
      </c>
      <c r="J200" s="16">
        <v>0</v>
      </c>
      <c r="K200" s="16">
        <v>0</v>
      </c>
      <c r="L200" s="16">
        <v>0</v>
      </c>
      <c r="M200" s="16">
        <v>0</v>
      </c>
    </row>
    <row r="201" spans="1:15" x14ac:dyDescent="0.35">
      <c r="B201" s="16" t="s">
        <v>74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</row>
    <row r="203" spans="1:15" x14ac:dyDescent="0.35">
      <c r="A203" s="18" t="s">
        <v>84</v>
      </c>
      <c r="B203" s="20">
        <v>44647</v>
      </c>
      <c r="C203" s="16" t="s">
        <v>107</v>
      </c>
      <c r="D203" s="16" t="s">
        <v>3</v>
      </c>
      <c r="E203" s="16" t="s">
        <v>4</v>
      </c>
      <c r="F203" s="16" t="s">
        <v>10</v>
      </c>
      <c r="G203" s="16" t="s">
        <v>17</v>
      </c>
      <c r="H203" s="16" t="s">
        <v>19</v>
      </c>
      <c r="I203" s="16" t="s">
        <v>20</v>
      </c>
      <c r="J203" s="16" t="s">
        <v>21</v>
      </c>
      <c r="K203" s="16" t="s">
        <v>22</v>
      </c>
      <c r="L203" s="16" t="s">
        <v>23</v>
      </c>
      <c r="M203" s="16" t="s">
        <v>24</v>
      </c>
      <c r="N203" s="16" t="s">
        <v>15</v>
      </c>
    </row>
    <row r="204" spans="1:15" x14ac:dyDescent="0.35">
      <c r="A204" s="16" t="s">
        <v>5</v>
      </c>
      <c r="D204" s="16">
        <v>0</v>
      </c>
      <c r="E204" s="16">
        <v>0</v>
      </c>
      <c r="N204" s="16">
        <v>10</v>
      </c>
      <c r="O204" s="16" t="s">
        <v>43</v>
      </c>
    </row>
    <row r="205" spans="1:15" x14ac:dyDescent="0.35">
      <c r="A205" s="16" t="s">
        <v>6</v>
      </c>
      <c r="B205" s="16" t="s">
        <v>11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2</v>
      </c>
      <c r="O205" s="16" t="s">
        <v>44</v>
      </c>
    </row>
    <row r="206" spans="1:15" x14ac:dyDescent="0.35">
      <c r="B206" s="16" t="s">
        <v>72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3</v>
      </c>
      <c r="O206" s="16" t="s">
        <v>45</v>
      </c>
    </row>
    <row r="207" spans="1:15" x14ac:dyDescent="0.35">
      <c r="B207" s="16" t="s">
        <v>18</v>
      </c>
      <c r="D207" s="16">
        <v>2</v>
      </c>
      <c r="E207" s="16">
        <v>1</v>
      </c>
      <c r="F207" s="16">
        <v>3</v>
      </c>
      <c r="G207" s="16">
        <v>0</v>
      </c>
      <c r="H207" s="16">
        <v>0</v>
      </c>
      <c r="I207" s="16">
        <v>3</v>
      </c>
      <c r="J207" s="16">
        <v>0</v>
      </c>
      <c r="K207" s="16">
        <v>0</v>
      </c>
      <c r="L207" s="16">
        <v>0</v>
      </c>
      <c r="M207" s="16">
        <v>0</v>
      </c>
      <c r="N207" s="16">
        <v>2.5</v>
      </c>
      <c r="O207" s="16" t="s">
        <v>46</v>
      </c>
    </row>
    <row r="208" spans="1:15" x14ac:dyDescent="0.35">
      <c r="B208" s="16" t="s">
        <v>13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</row>
    <row r="209" spans="1:13" x14ac:dyDescent="0.35">
      <c r="A209" s="16" t="s">
        <v>7</v>
      </c>
      <c r="B209" s="16" t="s">
        <v>11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</row>
    <row r="210" spans="1:13" x14ac:dyDescent="0.35">
      <c r="B210" s="16" t="s">
        <v>72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</row>
    <row r="211" spans="1:13" x14ac:dyDescent="0.35">
      <c r="B211" s="16" t="s">
        <v>18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</row>
    <row r="212" spans="1:13" x14ac:dyDescent="0.35">
      <c r="B212" s="16" t="s">
        <v>13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</row>
    <row r="213" spans="1:13" x14ac:dyDescent="0.35">
      <c r="A213" s="16" t="s">
        <v>8</v>
      </c>
      <c r="B213" s="16" t="s">
        <v>11</v>
      </c>
      <c r="D213" s="16">
        <v>0</v>
      </c>
      <c r="E213" s="16">
        <v>1</v>
      </c>
      <c r="F213" s="16">
        <v>1</v>
      </c>
      <c r="G213" s="16">
        <v>0</v>
      </c>
      <c r="H213" s="16">
        <v>0</v>
      </c>
      <c r="I213" s="16">
        <v>0</v>
      </c>
      <c r="J213" s="16">
        <v>1</v>
      </c>
      <c r="K213" s="16">
        <v>0</v>
      </c>
      <c r="L213" s="16">
        <v>0</v>
      </c>
      <c r="M213" s="16">
        <v>0</v>
      </c>
    </row>
    <row r="214" spans="1:13" x14ac:dyDescent="0.35">
      <c r="B214" s="16" t="s">
        <v>72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</row>
    <row r="215" spans="1:13" x14ac:dyDescent="0.35">
      <c r="B215" s="16" t="s">
        <v>18</v>
      </c>
      <c r="D215" s="16">
        <v>4</v>
      </c>
      <c r="E215" s="16">
        <v>2</v>
      </c>
      <c r="F215" s="16">
        <v>6</v>
      </c>
      <c r="G215" s="16">
        <v>0</v>
      </c>
      <c r="H215" s="16">
        <v>0</v>
      </c>
      <c r="I215" s="16">
        <v>6</v>
      </c>
      <c r="J215" s="16">
        <v>0</v>
      </c>
      <c r="K215" s="16">
        <v>0</v>
      </c>
      <c r="L215" s="16">
        <v>0</v>
      </c>
      <c r="M215" s="16">
        <v>0</v>
      </c>
    </row>
    <row r="216" spans="1:13" x14ac:dyDescent="0.35">
      <c r="B216" s="16" t="s">
        <v>13</v>
      </c>
      <c r="D216" s="16">
        <v>1</v>
      </c>
      <c r="E216" s="16">
        <v>3</v>
      </c>
      <c r="F216" s="16">
        <v>3</v>
      </c>
      <c r="G216" s="16">
        <v>1</v>
      </c>
      <c r="H216" s="16">
        <v>0</v>
      </c>
      <c r="I216" s="16">
        <v>3</v>
      </c>
      <c r="J216" s="16">
        <v>1</v>
      </c>
      <c r="K216" s="16">
        <v>0</v>
      </c>
      <c r="L216" s="16">
        <v>0</v>
      </c>
      <c r="M216" s="16">
        <v>0</v>
      </c>
    </row>
    <row r="217" spans="1:13" x14ac:dyDescent="0.35">
      <c r="B217" s="16" t="s">
        <v>74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</row>
    <row r="218" spans="1:13" x14ac:dyDescent="0.35">
      <c r="A218" s="16" t="s">
        <v>9</v>
      </c>
      <c r="B218" s="16" t="s">
        <v>11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</row>
    <row r="219" spans="1:13" x14ac:dyDescent="0.35">
      <c r="B219" s="16" t="s">
        <v>72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</row>
    <row r="220" spans="1:13" x14ac:dyDescent="0.35">
      <c r="B220" s="16" t="s">
        <v>18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</row>
    <row r="221" spans="1:13" x14ac:dyDescent="0.35">
      <c r="B221" s="16" t="s">
        <v>13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</row>
    <row r="222" spans="1:13" x14ac:dyDescent="0.35">
      <c r="B222" s="16" t="s">
        <v>74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</row>
  </sheetData>
  <mergeCells count="2">
    <mergeCell ref="S34:AA34"/>
    <mergeCell ref="AJ1:AN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03066-81A1-46CD-93F7-B3AB2E64D021}">
  <sheetPr>
    <tabColor theme="7"/>
  </sheetPr>
  <dimension ref="A1:AN222"/>
  <sheetViews>
    <sheetView tabSelected="1" zoomScale="70" zoomScaleNormal="70" workbookViewId="0">
      <selection activeCell="C23" sqref="C23"/>
    </sheetView>
  </sheetViews>
  <sheetFormatPr defaultRowHeight="14.5" x14ac:dyDescent="0.35"/>
  <cols>
    <col min="1" max="1" width="23.26953125" style="16" bestFit="1" customWidth="1"/>
    <col min="2" max="2" width="20" style="16" bestFit="1" customWidth="1"/>
    <col min="3" max="3" width="32.26953125" style="16" bestFit="1" customWidth="1"/>
    <col min="4" max="4" width="10.453125" style="16" bestFit="1" customWidth="1"/>
    <col min="5" max="5" width="8" style="16" bestFit="1" customWidth="1"/>
    <col min="6" max="6" width="8.81640625" style="16" bestFit="1" customWidth="1"/>
    <col min="7" max="7" width="21.08984375" style="16" bestFit="1" customWidth="1"/>
    <col min="8" max="8" width="14.26953125" style="16" bestFit="1" customWidth="1"/>
    <col min="9" max="9" width="11.26953125" style="16" bestFit="1" customWidth="1"/>
    <col min="10" max="10" width="12.08984375" style="16" bestFit="1" customWidth="1"/>
    <col min="11" max="11" width="18.36328125" style="16" bestFit="1" customWidth="1"/>
    <col min="12" max="12" width="15.6328125" style="16" bestFit="1" customWidth="1"/>
    <col min="13" max="13" width="26" style="16" bestFit="1" customWidth="1"/>
    <col min="14" max="14" width="13.1796875" style="16" bestFit="1" customWidth="1"/>
    <col min="15" max="15" width="5.26953125" style="16" bestFit="1" customWidth="1"/>
    <col min="16" max="16" width="8.7265625" style="16"/>
    <col min="17" max="17" width="17.08984375" style="16" bestFit="1" customWidth="1"/>
    <col min="18" max="18" width="15.54296875" style="16" bestFit="1" customWidth="1"/>
    <col min="19" max="19" width="17.26953125" style="16" bestFit="1" customWidth="1"/>
    <col min="20" max="20" width="11.54296875" style="16" bestFit="1" customWidth="1"/>
    <col min="21" max="21" width="11.81640625" style="16" bestFit="1" customWidth="1"/>
    <col min="22" max="22" width="8" style="16" bestFit="1" customWidth="1"/>
    <col min="23" max="23" width="16.453125" style="16" bestFit="1" customWidth="1"/>
    <col min="24" max="24" width="10.1796875" style="16" bestFit="1" customWidth="1"/>
    <col min="25" max="25" width="9.36328125" style="16" bestFit="1" customWidth="1"/>
    <col min="26" max="26" width="16.453125" style="16" bestFit="1" customWidth="1"/>
    <col min="27" max="27" width="8.81640625" style="16" bestFit="1" customWidth="1"/>
    <col min="28" max="35" width="8.7265625" style="16"/>
    <col min="36" max="36" width="44.26953125" style="16" bestFit="1" customWidth="1"/>
    <col min="37" max="37" width="44" style="16" bestFit="1" customWidth="1"/>
    <col min="38" max="38" width="43.453125" style="16" bestFit="1" customWidth="1"/>
    <col min="39" max="39" width="43.7265625" style="16" bestFit="1" customWidth="1"/>
    <col min="40" max="40" width="39.90625" style="16" bestFit="1" customWidth="1"/>
    <col min="41" max="16384" width="8.7265625" style="16"/>
  </cols>
  <sheetData>
    <row r="1" spans="1:40" ht="52" customHeight="1" x14ac:dyDescent="0.35">
      <c r="A1" s="51" t="s">
        <v>133</v>
      </c>
      <c r="B1" s="13"/>
      <c r="C1" s="13"/>
      <c r="D1" s="35" t="s">
        <v>3</v>
      </c>
      <c r="E1" s="35" t="s">
        <v>4</v>
      </c>
      <c r="F1" s="35" t="s">
        <v>10</v>
      </c>
      <c r="G1" s="35" t="s">
        <v>17</v>
      </c>
      <c r="H1" s="35" t="s">
        <v>19</v>
      </c>
      <c r="I1" s="35" t="s">
        <v>20</v>
      </c>
      <c r="J1" s="35" t="s">
        <v>21</v>
      </c>
      <c r="K1" s="35" t="s">
        <v>22</v>
      </c>
      <c r="L1" s="35" t="s">
        <v>23</v>
      </c>
      <c r="M1" s="35" t="s">
        <v>24</v>
      </c>
      <c r="N1" s="53"/>
      <c r="O1" s="53"/>
      <c r="P1" s="53"/>
      <c r="Q1" s="53"/>
      <c r="AJ1" s="94" t="s">
        <v>122</v>
      </c>
      <c r="AK1" s="95"/>
      <c r="AL1" s="95"/>
      <c r="AM1" s="95"/>
      <c r="AN1" s="96"/>
    </row>
    <row r="2" spans="1:40" x14ac:dyDescent="0.35">
      <c r="A2" s="36"/>
      <c r="B2" s="36"/>
      <c r="C2" s="63" t="s">
        <v>68</v>
      </c>
      <c r="D2" s="37">
        <f>(SUM(D37:D54)/($N$54-$C$36))</f>
        <v>0.47482014388489208</v>
      </c>
      <c r="E2" s="37">
        <f t="shared" ref="E2:M2" si="0">(SUM(E37:E54)/($N$54-$C$36))</f>
        <v>0.52517985611510787</v>
      </c>
      <c r="F2" s="37">
        <f t="shared" si="0"/>
        <v>0.93525179856115104</v>
      </c>
      <c r="G2" s="37">
        <f t="shared" si="0"/>
        <v>6.4748201438848921E-2</v>
      </c>
      <c r="H2" s="37">
        <f t="shared" si="0"/>
        <v>7.1942446043165471E-3</v>
      </c>
      <c r="I2" s="37">
        <f t="shared" si="0"/>
        <v>0.93525179856115104</v>
      </c>
      <c r="J2" s="37">
        <f t="shared" si="0"/>
        <v>5.7553956834532377E-2</v>
      </c>
      <c r="K2" s="37">
        <f t="shared" si="0"/>
        <v>0</v>
      </c>
      <c r="L2" s="37">
        <f t="shared" si="0"/>
        <v>0</v>
      </c>
      <c r="M2" s="37">
        <f t="shared" si="0"/>
        <v>0</v>
      </c>
      <c r="N2" s="53"/>
      <c r="O2" s="53"/>
      <c r="P2" s="53"/>
      <c r="Q2" s="53"/>
      <c r="AJ2" s="1" t="s">
        <v>101</v>
      </c>
      <c r="AK2" s="1" t="s">
        <v>76</v>
      </c>
      <c r="AL2" s="1" t="s">
        <v>102</v>
      </c>
      <c r="AM2" s="1" t="s">
        <v>103</v>
      </c>
      <c r="AN2" s="1" t="s">
        <v>86</v>
      </c>
    </row>
    <row r="3" spans="1:40" x14ac:dyDescent="0.35">
      <c r="A3" s="36"/>
      <c r="B3" s="36"/>
      <c r="C3" s="63" t="s">
        <v>67</v>
      </c>
      <c r="D3" s="38">
        <f>SUM(D37:D54)</f>
        <v>66</v>
      </c>
      <c r="E3" s="38">
        <f t="shared" ref="E3:M3" si="1">SUM(E37:E54)</f>
        <v>73</v>
      </c>
      <c r="F3" s="38">
        <f t="shared" si="1"/>
        <v>130</v>
      </c>
      <c r="G3" s="38">
        <f t="shared" si="1"/>
        <v>9</v>
      </c>
      <c r="H3" s="38">
        <f t="shared" si="1"/>
        <v>1</v>
      </c>
      <c r="I3" s="38">
        <f t="shared" si="1"/>
        <v>130</v>
      </c>
      <c r="J3" s="38">
        <f t="shared" si="1"/>
        <v>8</v>
      </c>
      <c r="K3" s="38">
        <f t="shared" si="1"/>
        <v>0</v>
      </c>
      <c r="L3" s="38">
        <f t="shared" si="1"/>
        <v>0</v>
      </c>
      <c r="M3" s="38">
        <f t="shared" si="1"/>
        <v>0</v>
      </c>
      <c r="N3" s="53"/>
      <c r="O3" s="53"/>
      <c r="P3" s="53"/>
      <c r="Q3" s="53"/>
    </row>
    <row r="4" spans="1:40" x14ac:dyDescent="0.35">
      <c r="A4" s="39" t="s">
        <v>68</v>
      </c>
      <c r="B4" s="40" t="s">
        <v>73</v>
      </c>
      <c r="C4" s="39">
        <f>C9/($N$54-$C$36)</f>
        <v>4.3165467625899283E-2</v>
      </c>
      <c r="D4" s="39">
        <f>D9/(D9+E9)</f>
        <v>0.33333333333333331</v>
      </c>
      <c r="E4" s="39">
        <f>E9/(D9+E9)</f>
        <v>0.66666666666666663</v>
      </c>
      <c r="F4" s="39">
        <f>F9/(F9+G9)</f>
        <v>1</v>
      </c>
      <c r="G4" s="39">
        <f>G9/(F9+G9)</f>
        <v>0</v>
      </c>
      <c r="H4" s="39">
        <f>H9/(H9+I9+J9)</f>
        <v>0</v>
      </c>
      <c r="I4" s="41">
        <f>I9/(H9+I9+J9)</f>
        <v>0</v>
      </c>
      <c r="J4" s="39">
        <f>J9/(H9+I9+J9)</f>
        <v>1</v>
      </c>
      <c r="K4" s="39">
        <f>K9/C9</f>
        <v>0</v>
      </c>
      <c r="L4" s="39">
        <f>L9/C9</f>
        <v>0</v>
      </c>
      <c r="M4" s="41"/>
      <c r="N4" s="53"/>
      <c r="O4" s="53"/>
      <c r="P4" s="53"/>
      <c r="Q4" s="53"/>
    </row>
    <row r="5" spans="1:40" x14ac:dyDescent="0.35">
      <c r="A5" s="39"/>
      <c r="B5" s="40" t="s">
        <v>72</v>
      </c>
      <c r="C5" s="39">
        <f>C10/($N$54-$C$36)</f>
        <v>7.1942446043165471E-3</v>
      </c>
      <c r="D5" s="39">
        <f>D10/(D10+E10)</f>
        <v>1</v>
      </c>
      <c r="E5" s="39">
        <f>E10/(D10+E10)</f>
        <v>0</v>
      </c>
      <c r="F5" s="39">
        <f>F10/(F10+G10)</f>
        <v>1</v>
      </c>
      <c r="G5" s="39"/>
      <c r="H5" s="39"/>
      <c r="I5" s="41"/>
      <c r="J5" s="39"/>
      <c r="K5" s="39"/>
      <c r="L5" s="39"/>
      <c r="M5" s="41"/>
      <c r="N5" s="53"/>
      <c r="O5" s="53"/>
      <c r="P5" s="53"/>
      <c r="Q5" s="53"/>
    </row>
    <row r="6" spans="1:40" x14ac:dyDescent="0.35">
      <c r="A6" s="39"/>
      <c r="B6" s="40" t="s">
        <v>18</v>
      </c>
      <c r="C6" s="39">
        <f t="shared" ref="C6:C8" si="2">C11/($N$54-$C$36)</f>
        <v>0.4460431654676259</v>
      </c>
      <c r="D6" s="39">
        <f>D11/(D11+E11)</f>
        <v>0.54838709677419351</v>
      </c>
      <c r="E6" s="39">
        <f t="shared" ref="E6:E8" si="3">E11/(D11+E11)</f>
        <v>0.45161290322580644</v>
      </c>
      <c r="F6" s="39">
        <f t="shared" ref="F6:F8" si="4">F11/(F11+G11)</f>
        <v>0.9838709677419355</v>
      </c>
      <c r="G6" s="39">
        <f t="shared" ref="G6:G8" si="5">G11/(F11+G11)</f>
        <v>1.6129032258064516E-2</v>
      </c>
      <c r="H6" s="39">
        <f t="shared" ref="H6:H8" si="6">H11/(H11+I11+J11)</f>
        <v>0</v>
      </c>
      <c r="I6" s="39">
        <f t="shared" ref="I6:I8" si="7">I11/(H11+I11+J11)</f>
        <v>1</v>
      </c>
      <c r="J6" s="39">
        <f t="shared" ref="J6:J8" si="8">J11/(H11+I11+J11)</f>
        <v>0</v>
      </c>
      <c r="K6" s="39">
        <f t="shared" ref="K6:K8" si="9">K11/C11</f>
        <v>0</v>
      </c>
      <c r="L6" s="39">
        <f t="shared" ref="L6:L8" si="10">L11/C11</f>
        <v>0</v>
      </c>
      <c r="M6" s="41"/>
      <c r="N6" s="53"/>
      <c r="O6" s="53"/>
      <c r="P6" s="53"/>
      <c r="Q6" s="53"/>
    </row>
    <row r="7" spans="1:40" x14ac:dyDescent="0.35">
      <c r="A7" s="40"/>
      <c r="B7" s="40" t="s">
        <v>75</v>
      </c>
      <c r="C7" s="39">
        <f t="shared" si="2"/>
        <v>0.50359712230215825</v>
      </c>
      <c r="D7" s="39">
        <f t="shared" ref="D7:D8" si="11">D12/(D12+E12)</f>
        <v>0.41428571428571431</v>
      </c>
      <c r="E7" s="39">
        <f t="shared" si="3"/>
        <v>0.58571428571428574</v>
      </c>
      <c r="F7" s="39">
        <f t="shared" si="4"/>
        <v>0.88571428571428568</v>
      </c>
      <c r="G7" s="39">
        <f t="shared" si="5"/>
        <v>0.11428571428571428</v>
      </c>
      <c r="H7" s="39">
        <f t="shared" si="6"/>
        <v>0</v>
      </c>
      <c r="I7" s="39">
        <f t="shared" si="7"/>
        <v>0.97142857142857142</v>
      </c>
      <c r="J7" s="39">
        <f t="shared" si="8"/>
        <v>2.8571428571428571E-2</v>
      </c>
      <c r="K7" s="39">
        <f t="shared" si="9"/>
        <v>0</v>
      </c>
      <c r="L7" s="39">
        <f t="shared" si="10"/>
        <v>0</v>
      </c>
      <c r="M7" s="41"/>
      <c r="N7" s="53"/>
      <c r="O7" s="53"/>
      <c r="P7" s="53"/>
      <c r="Q7" s="53"/>
    </row>
    <row r="8" spans="1:40" x14ac:dyDescent="0.35">
      <c r="A8" s="40"/>
      <c r="B8" s="40" t="s">
        <v>74</v>
      </c>
      <c r="C8" s="39">
        <f t="shared" si="2"/>
        <v>0</v>
      </c>
      <c r="D8" s="39" t="e">
        <f t="shared" si="11"/>
        <v>#DIV/0!</v>
      </c>
      <c r="E8" s="39" t="e">
        <f t="shared" si="3"/>
        <v>#DIV/0!</v>
      </c>
      <c r="F8" s="39" t="e">
        <f t="shared" si="4"/>
        <v>#DIV/0!</v>
      </c>
      <c r="G8" s="39" t="e">
        <f t="shared" si="5"/>
        <v>#DIV/0!</v>
      </c>
      <c r="H8" s="39" t="e">
        <f t="shared" si="6"/>
        <v>#DIV/0!</v>
      </c>
      <c r="I8" s="39" t="e">
        <f t="shared" si="7"/>
        <v>#DIV/0!</v>
      </c>
      <c r="J8" s="39" t="e">
        <f t="shared" si="8"/>
        <v>#DIV/0!</v>
      </c>
      <c r="K8" s="39" t="e">
        <f t="shared" si="9"/>
        <v>#DIV/0!</v>
      </c>
      <c r="L8" s="39" t="e">
        <f t="shared" si="10"/>
        <v>#DIV/0!</v>
      </c>
      <c r="M8" s="41"/>
      <c r="N8" s="53"/>
      <c r="O8" s="53"/>
      <c r="P8" s="53"/>
      <c r="Q8" s="53"/>
    </row>
    <row r="9" spans="1:40" x14ac:dyDescent="0.35">
      <c r="A9" s="42" t="s">
        <v>67</v>
      </c>
      <c r="B9" s="43" t="s">
        <v>11</v>
      </c>
      <c r="C9" s="44">
        <f>D9+E9</f>
        <v>6</v>
      </c>
      <c r="D9" s="45">
        <f>D16+D20+D24+D29</f>
        <v>2</v>
      </c>
      <c r="E9" s="45">
        <f t="shared" ref="E9:M9" si="12">E16+E20+E24+E29</f>
        <v>4</v>
      </c>
      <c r="F9" s="45">
        <f t="shared" si="12"/>
        <v>6</v>
      </c>
      <c r="G9" s="45">
        <f t="shared" si="12"/>
        <v>0</v>
      </c>
      <c r="H9" s="45">
        <f t="shared" si="12"/>
        <v>0</v>
      </c>
      <c r="I9" s="45">
        <f t="shared" si="12"/>
        <v>0</v>
      </c>
      <c r="J9" s="45">
        <f t="shared" si="12"/>
        <v>6</v>
      </c>
      <c r="K9" s="45">
        <f t="shared" si="12"/>
        <v>0</v>
      </c>
      <c r="L9" s="45">
        <f t="shared" si="12"/>
        <v>0</v>
      </c>
      <c r="M9" s="45">
        <f t="shared" si="12"/>
        <v>0</v>
      </c>
      <c r="N9" s="53"/>
      <c r="O9" s="53"/>
      <c r="P9" s="53"/>
      <c r="Q9" s="53"/>
    </row>
    <row r="10" spans="1:40" x14ac:dyDescent="0.35">
      <c r="A10" s="42"/>
      <c r="B10" s="43" t="s">
        <v>72</v>
      </c>
      <c r="C10" s="44">
        <f t="shared" ref="C10:C13" si="13">D10+E10</f>
        <v>1</v>
      </c>
      <c r="D10" s="45">
        <f t="shared" ref="D10:M12" si="14">D17+D21+D25+D30</f>
        <v>1</v>
      </c>
      <c r="E10" s="45">
        <f t="shared" si="14"/>
        <v>0</v>
      </c>
      <c r="F10" s="45">
        <f t="shared" si="14"/>
        <v>1</v>
      </c>
      <c r="G10" s="45">
        <f t="shared" si="14"/>
        <v>0</v>
      </c>
      <c r="H10" s="45">
        <f t="shared" si="14"/>
        <v>1</v>
      </c>
      <c r="I10" s="45">
        <f t="shared" si="14"/>
        <v>0</v>
      </c>
      <c r="J10" s="45">
        <f t="shared" si="14"/>
        <v>0</v>
      </c>
      <c r="K10" s="45">
        <f t="shared" si="14"/>
        <v>0</v>
      </c>
      <c r="L10" s="45">
        <f t="shared" si="14"/>
        <v>0</v>
      </c>
      <c r="M10" s="45">
        <f t="shared" si="14"/>
        <v>0</v>
      </c>
      <c r="N10" s="53"/>
      <c r="O10" s="53"/>
      <c r="P10" s="53"/>
      <c r="Q10" s="53"/>
    </row>
    <row r="11" spans="1:40" x14ac:dyDescent="0.35">
      <c r="A11" s="42"/>
      <c r="B11" s="43" t="s">
        <v>18</v>
      </c>
      <c r="C11" s="44">
        <f t="shared" si="13"/>
        <v>62</v>
      </c>
      <c r="D11" s="45">
        <f t="shared" si="14"/>
        <v>34</v>
      </c>
      <c r="E11" s="45">
        <f t="shared" si="14"/>
        <v>28</v>
      </c>
      <c r="F11" s="45">
        <f t="shared" si="14"/>
        <v>61</v>
      </c>
      <c r="G11" s="45">
        <f t="shared" si="14"/>
        <v>1</v>
      </c>
      <c r="H11" s="45">
        <f t="shared" si="14"/>
        <v>0</v>
      </c>
      <c r="I11" s="45">
        <f t="shared" si="14"/>
        <v>62</v>
      </c>
      <c r="J11" s="45">
        <f t="shared" si="14"/>
        <v>0</v>
      </c>
      <c r="K11" s="45">
        <f t="shared" si="14"/>
        <v>0</v>
      </c>
      <c r="L11" s="45">
        <f t="shared" si="14"/>
        <v>0</v>
      </c>
      <c r="M11" s="45">
        <f t="shared" si="14"/>
        <v>0</v>
      </c>
      <c r="N11" s="53"/>
      <c r="O11" s="53"/>
      <c r="P11" s="53"/>
      <c r="Q11" s="53"/>
    </row>
    <row r="12" spans="1:40" x14ac:dyDescent="0.35">
      <c r="A12" s="43"/>
      <c r="B12" s="43" t="s">
        <v>13</v>
      </c>
      <c r="C12" s="44">
        <f t="shared" si="13"/>
        <v>70</v>
      </c>
      <c r="D12" s="45">
        <f t="shared" si="14"/>
        <v>29</v>
      </c>
      <c r="E12" s="45">
        <f t="shared" si="14"/>
        <v>41</v>
      </c>
      <c r="F12" s="45">
        <f t="shared" si="14"/>
        <v>62</v>
      </c>
      <c r="G12" s="45">
        <f t="shared" si="14"/>
        <v>8</v>
      </c>
      <c r="H12" s="45">
        <f t="shared" si="14"/>
        <v>0</v>
      </c>
      <c r="I12" s="45">
        <f t="shared" si="14"/>
        <v>68</v>
      </c>
      <c r="J12" s="45">
        <f t="shared" si="14"/>
        <v>2</v>
      </c>
      <c r="K12" s="45">
        <f t="shared" si="14"/>
        <v>0</v>
      </c>
      <c r="L12" s="45">
        <f t="shared" si="14"/>
        <v>0</v>
      </c>
      <c r="M12" s="45">
        <f t="shared" si="14"/>
        <v>0</v>
      </c>
      <c r="N12" s="53"/>
      <c r="O12" s="53"/>
      <c r="P12" s="53"/>
      <c r="Q12" s="53"/>
    </row>
    <row r="13" spans="1:40" x14ac:dyDescent="0.35">
      <c r="A13" s="43"/>
      <c r="B13" s="43" t="s">
        <v>74</v>
      </c>
      <c r="C13" s="44">
        <f t="shared" si="13"/>
        <v>0</v>
      </c>
      <c r="D13" s="45">
        <f>D28+D33</f>
        <v>0</v>
      </c>
      <c r="E13" s="45">
        <f t="shared" ref="E13:M13" si="15">E28+E33</f>
        <v>0</v>
      </c>
      <c r="F13" s="45">
        <f t="shared" si="15"/>
        <v>0</v>
      </c>
      <c r="G13" s="45">
        <f t="shared" si="15"/>
        <v>0</v>
      </c>
      <c r="H13" s="45">
        <f t="shared" si="15"/>
        <v>0</v>
      </c>
      <c r="I13" s="45">
        <f t="shared" si="15"/>
        <v>0</v>
      </c>
      <c r="J13" s="45">
        <f t="shared" si="15"/>
        <v>0</v>
      </c>
      <c r="K13" s="45">
        <f t="shared" si="15"/>
        <v>0</v>
      </c>
      <c r="L13" s="45">
        <f t="shared" si="15"/>
        <v>0</v>
      </c>
      <c r="M13" s="45">
        <f t="shared" si="15"/>
        <v>0</v>
      </c>
      <c r="N13" s="53"/>
      <c r="O13" s="53"/>
      <c r="P13" s="53"/>
      <c r="Q13" s="53"/>
    </row>
    <row r="14" spans="1:40" x14ac:dyDescent="0.35">
      <c r="A14" s="13" t="s">
        <v>5</v>
      </c>
      <c r="B14" s="13"/>
      <c r="C14" s="50" t="s">
        <v>132</v>
      </c>
      <c r="D14" s="35" t="s">
        <v>3</v>
      </c>
      <c r="E14" s="35" t="s">
        <v>4</v>
      </c>
      <c r="F14" s="35" t="s">
        <v>10</v>
      </c>
      <c r="G14" s="35" t="s">
        <v>17</v>
      </c>
      <c r="H14" s="35" t="s">
        <v>19</v>
      </c>
      <c r="I14" s="35" t="s">
        <v>20</v>
      </c>
      <c r="J14" s="35" t="s">
        <v>21</v>
      </c>
      <c r="K14" s="35" t="s">
        <v>22</v>
      </c>
      <c r="L14" s="35" t="s">
        <v>23</v>
      </c>
      <c r="M14" s="35" t="s">
        <v>24</v>
      </c>
      <c r="N14" s="53"/>
      <c r="O14" s="53"/>
      <c r="P14" s="53"/>
      <c r="Q14" s="53"/>
    </row>
    <row r="15" spans="1:40" x14ac:dyDescent="0.35">
      <c r="A15" s="14">
        <f>C36/$N$54</f>
        <v>4.1379310344827586E-2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53"/>
      <c r="O15" s="53"/>
      <c r="P15" s="53"/>
      <c r="Q15" s="53"/>
    </row>
    <row r="16" spans="1:40" x14ac:dyDescent="0.35">
      <c r="A16" s="43" t="s">
        <v>6</v>
      </c>
      <c r="B16" s="43" t="s">
        <v>11</v>
      </c>
      <c r="C16" s="43" t="s">
        <v>131</v>
      </c>
      <c r="D16" s="43">
        <f>D37</f>
        <v>1</v>
      </c>
      <c r="E16" s="43">
        <f t="shared" ref="E16:M16" si="16">E37</f>
        <v>1</v>
      </c>
      <c r="F16" s="43">
        <f t="shared" si="16"/>
        <v>2</v>
      </c>
      <c r="G16" s="43">
        <f t="shared" si="16"/>
        <v>0</v>
      </c>
      <c r="H16" s="43">
        <f t="shared" si="16"/>
        <v>0</v>
      </c>
      <c r="I16" s="43">
        <f t="shared" si="16"/>
        <v>0</v>
      </c>
      <c r="J16" s="43">
        <f t="shared" si="16"/>
        <v>2</v>
      </c>
      <c r="K16" s="43">
        <f t="shared" si="16"/>
        <v>0</v>
      </c>
      <c r="L16" s="43">
        <f t="shared" si="16"/>
        <v>0</v>
      </c>
      <c r="M16" s="43">
        <f t="shared" si="16"/>
        <v>0</v>
      </c>
      <c r="N16" s="53"/>
      <c r="O16" s="53"/>
      <c r="P16" s="53"/>
      <c r="Q16" s="53"/>
    </row>
    <row r="17" spans="1:17" x14ac:dyDescent="0.35">
      <c r="A17" s="42">
        <f>(D37+E37+D38+E38+D39+E39+D40+E40)/N54</f>
        <v>0.10344827586206896</v>
      </c>
      <c r="B17" s="43" t="s">
        <v>72</v>
      </c>
      <c r="C17" s="43" t="s">
        <v>131</v>
      </c>
      <c r="D17" s="43">
        <f t="shared" ref="D17:M32" si="17">D38</f>
        <v>0</v>
      </c>
      <c r="E17" s="43">
        <f t="shared" si="17"/>
        <v>0</v>
      </c>
      <c r="F17" s="43">
        <f t="shared" si="17"/>
        <v>0</v>
      </c>
      <c r="G17" s="43">
        <f t="shared" si="17"/>
        <v>0</v>
      </c>
      <c r="H17" s="43">
        <f t="shared" si="17"/>
        <v>0</v>
      </c>
      <c r="I17" s="43">
        <f t="shared" si="17"/>
        <v>0</v>
      </c>
      <c r="J17" s="43">
        <f t="shared" si="17"/>
        <v>0</v>
      </c>
      <c r="K17" s="43">
        <f t="shared" si="17"/>
        <v>0</v>
      </c>
      <c r="L17" s="43">
        <f t="shared" si="17"/>
        <v>0</v>
      </c>
      <c r="M17" s="43">
        <f t="shared" si="17"/>
        <v>0</v>
      </c>
      <c r="N17" s="53"/>
      <c r="O17" s="53"/>
      <c r="P17" s="53"/>
      <c r="Q17" s="53"/>
    </row>
    <row r="18" spans="1:17" x14ac:dyDescent="0.35">
      <c r="A18" s="43"/>
      <c r="B18" s="43" t="s">
        <v>18</v>
      </c>
      <c r="C18" s="43" t="s">
        <v>131</v>
      </c>
      <c r="D18" s="43">
        <f t="shared" si="17"/>
        <v>4</v>
      </c>
      <c r="E18" s="43">
        <f t="shared" si="17"/>
        <v>2</v>
      </c>
      <c r="F18" s="43">
        <f t="shared" si="17"/>
        <v>6</v>
      </c>
      <c r="G18" s="43">
        <f t="shared" si="17"/>
        <v>0</v>
      </c>
      <c r="H18" s="43">
        <f t="shared" si="17"/>
        <v>0</v>
      </c>
      <c r="I18" s="43">
        <f t="shared" si="17"/>
        <v>6</v>
      </c>
      <c r="J18" s="43">
        <f t="shared" si="17"/>
        <v>0</v>
      </c>
      <c r="K18" s="43">
        <f t="shared" si="17"/>
        <v>0</v>
      </c>
      <c r="L18" s="43">
        <f t="shared" si="17"/>
        <v>0</v>
      </c>
      <c r="M18" s="43">
        <f t="shared" si="17"/>
        <v>0</v>
      </c>
      <c r="N18" s="53"/>
      <c r="O18" s="53"/>
      <c r="P18" s="53"/>
      <c r="Q18" s="53"/>
    </row>
    <row r="19" spans="1:17" x14ac:dyDescent="0.35">
      <c r="A19" s="43"/>
      <c r="B19" s="43" t="s">
        <v>13</v>
      </c>
      <c r="C19" s="43" t="s">
        <v>131</v>
      </c>
      <c r="D19" s="43">
        <f t="shared" si="17"/>
        <v>3</v>
      </c>
      <c r="E19" s="43">
        <f t="shared" si="17"/>
        <v>4</v>
      </c>
      <c r="F19" s="43">
        <f t="shared" si="17"/>
        <v>7</v>
      </c>
      <c r="G19" s="43">
        <f t="shared" si="17"/>
        <v>0</v>
      </c>
      <c r="H19" s="43">
        <f t="shared" si="17"/>
        <v>0</v>
      </c>
      <c r="I19" s="43">
        <f t="shared" si="17"/>
        <v>7</v>
      </c>
      <c r="J19" s="43">
        <f t="shared" si="17"/>
        <v>0</v>
      </c>
      <c r="K19" s="43">
        <f t="shared" si="17"/>
        <v>0</v>
      </c>
      <c r="L19" s="43">
        <f t="shared" si="17"/>
        <v>0</v>
      </c>
      <c r="M19" s="43">
        <f t="shared" si="17"/>
        <v>0</v>
      </c>
      <c r="N19" s="53"/>
      <c r="O19" s="53"/>
      <c r="P19" s="53"/>
      <c r="Q19" s="53"/>
    </row>
    <row r="20" spans="1:17" x14ac:dyDescent="0.35">
      <c r="A20" s="46" t="s">
        <v>7</v>
      </c>
      <c r="B20" s="46" t="s">
        <v>11</v>
      </c>
      <c r="C20" s="46" t="s">
        <v>131</v>
      </c>
      <c r="D20" s="46">
        <f t="shared" si="17"/>
        <v>0</v>
      </c>
      <c r="E20" s="46">
        <f t="shared" si="17"/>
        <v>1</v>
      </c>
      <c r="F20" s="46">
        <f t="shared" si="17"/>
        <v>1</v>
      </c>
      <c r="G20" s="46">
        <f t="shared" si="17"/>
        <v>0</v>
      </c>
      <c r="H20" s="46">
        <f t="shared" si="17"/>
        <v>0</v>
      </c>
      <c r="I20" s="46">
        <f t="shared" si="17"/>
        <v>0</v>
      </c>
      <c r="J20" s="46">
        <f t="shared" si="17"/>
        <v>1</v>
      </c>
      <c r="K20" s="46">
        <f t="shared" si="17"/>
        <v>0</v>
      </c>
      <c r="L20" s="46">
        <f t="shared" si="17"/>
        <v>0</v>
      </c>
      <c r="M20" s="46">
        <f t="shared" si="17"/>
        <v>0</v>
      </c>
      <c r="N20" s="53"/>
      <c r="O20" s="53"/>
      <c r="P20" s="53"/>
      <c r="Q20" s="53"/>
    </row>
    <row r="21" spans="1:17" x14ac:dyDescent="0.35">
      <c r="A21" s="47">
        <f>(D41+E41+D42+E42+D43+E43+D44+E44)/N54</f>
        <v>8.2758620689655171E-2</v>
      </c>
      <c r="B21" s="46" t="s">
        <v>72</v>
      </c>
      <c r="C21" s="46" t="s">
        <v>131</v>
      </c>
      <c r="D21" s="46">
        <f t="shared" si="17"/>
        <v>0</v>
      </c>
      <c r="E21" s="46">
        <f t="shared" si="17"/>
        <v>0</v>
      </c>
      <c r="F21" s="46">
        <f t="shared" si="17"/>
        <v>0</v>
      </c>
      <c r="G21" s="46">
        <f t="shared" si="17"/>
        <v>0</v>
      </c>
      <c r="H21" s="46">
        <f t="shared" si="17"/>
        <v>0</v>
      </c>
      <c r="I21" s="46">
        <f t="shared" si="17"/>
        <v>0</v>
      </c>
      <c r="J21" s="46">
        <f t="shared" si="17"/>
        <v>0</v>
      </c>
      <c r="K21" s="46">
        <f t="shared" si="17"/>
        <v>0</v>
      </c>
      <c r="L21" s="46">
        <f t="shared" si="17"/>
        <v>0</v>
      </c>
      <c r="M21" s="46">
        <f t="shared" si="17"/>
        <v>0</v>
      </c>
      <c r="N21" s="53"/>
      <c r="O21" s="53"/>
      <c r="P21" s="53"/>
      <c r="Q21" s="53"/>
    </row>
    <row r="22" spans="1:17" x14ac:dyDescent="0.35">
      <c r="A22" s="46"/>
      <c r="B22" s="46" t="s">
        <v>18</v>
      </c>
      <c r="C22" s="46" t="s">
        <v>131</v>
      </c>
      <c r="D22" s="46">
        <f t="shared" si="17"/>
        <v>1</v>
      </c>
      <c r="E22" s="46">
        <f t="shared" si="17"/>
        <v>2</v>
      </c>
      <c r="F22" s="46">
        <f t="shared" si="17"/>
        <v>3</v>
      </c>
      <c r="G22" s="46">
        <f t="shared" si="17"/>
        <v>0</v>
      </c>
      <c r="H22" s="46">
        <f t="shared" si="17"/>
        <v>0</v>
      </c>
      <c r="I22" s="46">
        <f t="shared" si="17"/>
        <v>3</v>
      </c>
      <c r="J22" s="46">
        <f t="shared" si="17"/>
        <v>0</v>
      </c>
      <c r="K22" s="46">
        <f t="shared" si="17"/>
        <v>0</v>
      </c>
      <c r="L22" s="46">
        <f t="shared" si="17"/>
        <v>0</v>
      </c>
      <c r="M22" s="46">
        <f t="shared" si="17"/>
        <v>0</v>
      </c>
      <c r="N22" s="53"/>
      <c r="O22" s="53"/>
      <c r="P22" s="53"/>
      <c r="Q22" s="53"/>
    </row>
    <row r="23" spans="1:17" x14ac:dyDescent="0.35">
      <c r="A23" s="46"/>
      <c r="B23" s="46" t="s">
        <v>13</v>
      </c>
      <c r="C23" s="46" t="s">
        <v>131</v>
      </c>
      <c r="D23" s="46">
        <f t="shared" si="17"/>
        <v>2</v>
      </c>
      <c r="E23" s="46">
        <f t="shared" si="17"/>
        <v>6</v>
      </c>
      <c r="F23" s="46">
        <f t="shared" si="17"/>
        <v>6</v>
      </c>
      <c r="G23" s="46">
        <f t="shared" si="17"/>
        <v>2</v>
      </c>
      <c r="H23" s="46">
        <f t="shared" si="17"/>
        <v>0</v>
      </c>
      <c r="I23" s="46">
        <f t="shared" si="17"/>
        <v>7</v>
      </c>
      <c r="J23" s="46">
        <f t="shared" si="17"/>
        <v>1</v>
      </c>
      <c r="K23" s="46">
        <f t="shared" si="17"/>
        <v>0</v>
      </c>
      <c r="L23" s="46">
        <f t="shared" si="17"/>
        <v>0</v>
      </c>
      <c r="M23" s="46">
        <f t="shared" si="17"/>
        <v>0</v>
      </c>
      <c r="N23" s="53"/>
      <c r="O23" s="53"/>
      <c r="P23" s="53"/>
      <c r="Q23" s="53"/>
    </row>
    <row r="24" spans="1:17" x14ac:dyDescent="0.35">
      <c r="A24" s="36" t="s">
        <v>8</v>
      </c>
      <c r="B24" s="36" t="s">
        <v>11</v>
      </c>
      <c r="C24" s="36" t="s">
        <v>131</v>
      </c>
      <c r="D24" s="36">
        <f t="shared" si="17"/>
        <v>1</v>
      </c>
      <c r="E24" s="36">
        <f t="shared" si="17"/>
        <v>2</v>
      </c>
      <c r="F24" s="36">
        <f t="shared" si="17"/>
        <v>3</v>
      </c>
      <c r="G24" s="36">
        <f t="shared" si="17"/>
        <v>0</v>
      </c>
      <c r="H24" s="36">
        <f t="shared" si="17"/>
        <v>0</v>
      </c>
      <c r="I24" s="36">
        <f t="shared" si="17"/>
        <v>0</v>
      </c>
      <c r="J24" s="36">
        <f t="shared" si="17"/>
        <v>3</v>
      </c>
      <c r="K24" s="36">
        <f t="shared" si="17"/>
        <v>0</v>
      </c>
      <c r="L24" s="36">
        <f t="shared" si="17"/>
        <v>0</v>
      </c>
      <c r="M24" s="36">
        <f t="shared" si="17"/>
        <v>0</v>
      </c>
      <c r="N24" s="53"/>
      <c r="O24" s="53"/>
      <c r="P24" s="53"/>
      <c r="Q24" s="53"/>
    </row>
    <row r="25" spans="1:17" x14ac:dyDescent="0.35">
      <c r="A25" s="37">
        <f>(D45+E45+D46+E46+D47+E47+D48+E48+D49+E49)/$N$54</f>
        <v>0.60689655172413792</v>
      </c>
      <c r="B25" s="36" t="s">
        <v>72</v>
      </c>
      <c r="C25" s="36" t="s">
        <v>131</v>
      </c>
      <c r="D25" s="36">
        <f t="shared" si="17"/>
        <v>0</v>
      </c>
      <c r="E25" s="36">
        <f t="shared" si="17"/>
        <v>0</v>
      </c>
      <c r="F25" s="36">
        <f t="shared" si="17"/>
        <v>0</v>
      </c>
      <c r="G25" s="36">
        <f t="shared" si="17"/>
        <v>0</v>
      </c>
      <c r="H25" s="36">
        <f t="shared" si="17"/>
        <v>0</v>
      </c>
      <c r="I25" s="36">
        <f t="shared" si="17"/>
        <v>0</v>
      </c>
      <c r="J25" s="36">
        <f t="shared" si="17"/>
        <v>0</v>
      </c>
      <c r="K25" s="36">
        <f t="shared" si="17"/>
        <v>0</v>
      </c>
      <c r="L25" s="36">
        <f t="shared" si="17"/>
        <v>0</v>
      </c>
      <c r="M25" s="36">
        <f t="shared" si="17"/>
        <v>0</v>
      </c>
      <c r="N25" s="53"/>
      <c r="O25" s="53"/>
      <c r="P25" s="53"/>
      <c r="Q25" s="53"/>
    </row>
    <row r="26" spans="1:17" x14ac:dyDescent="0.35">
      <c r="A26" s="36"/>
      <c r="B26" s="36" t="s">
        <v>18</v>
      </c>
      <c r="C26" s="36" t="s">
        <v>131</v>
      </c>
      <c r="D26" s="36">
        <f t="shared" si="17"/>
        <v>22</v>
      </c>
      <c r="E26" s="36">
        <f t="shared" si="17"/>
        <v>22</v>
      </c>
      <c r="F26" s="36">
        <f t="shared" si="17"/>
        <v>43</v>
      </c>
      <c r="G26" s="36">
        <f t="shared" si="17"/>
        <v>1</v>
      </c>
      <c r="H26" s="36">
        <f t="shared" si="17"/>
        <v>0</v>
      </c>
      <c r="I26" s="36">
        <f t="shared" si="17"/>
        <v>44</v>
      </c>
      <c r="J26" s="36">
        <f t="shared" si="17"/>
        <v>0</v>
      </c>
      <c r="K26" s="36">
        <f t="shared" si="17"/>
        <v>0</v>
      </c>
      <c r="L26" s="36">
        <f t="shared" si="17"/>
        <v>0</v>
      </c>
      <c r="M26" s="36">
        <f t="shared" si="17"/>
        <v>0</v>
      </c>
      <c r="N26" s="53"/>
      <c r="O26" s="53"/>
      <c r="P26" s="53"/>
      <c r="Q26" s="53"/>
    </row>
    <row r="27" spans="1:17" x14ac:dyDescent="0.35">
      <c r="A27" s="36"/>
      <c r="B27" s="36" t="s">
        <v>13</v>
      </c>
      <c r="C27" s="36" t="s">
        <v>131</v>
      </c>
      <c r="D27" s="36">
        <f t="shared" si="17"/>
        <v>19</v>
      </c>
      <c r="E27" s="36">
        <f t="shared" si="17"/>
        <v>22</v>
      </c>
      <c r="F27" s="36">
        <f t="shared" si="17"/>
        <v>35</v>
      </c>
      <c r="G27" s="36">
        <f t="shared" si="17"/>
        <v>6</v>
      </c>
      <c r="H27" s="36">
        <f t="shared" si="17"/>
        <v>0</v>
      </c>
      <c r="I27" s="36">
        <f t="shared" si="17"/>
        <v>40</v>
      </c>
      <c r="J27" s="36">
        <f t="shared" si="17"/>
        <v>1</v>
      </c>
      <c r="K27" s="36">
        <f t="shared" si="17"/>
        <v>0</v>
      </c>
      <c r="L27" s="36">
        <f t="shared" si="17"/>
        <v>0</v>
      </c>
      <c r="M27" s="36">
        <f t="shared" si="17"/>
        <v>0</v>
      </c>
      <c r="N27" s="53"/>
      <c r="O27" s="53"/>
      <c r="P27" s="53"/>
      <c r="Q27" s="53"/>
    </row>
    <row r="28" spans="1:17" x14ac:dyDescent="0.35">
      <c r="A28" s="36"/>
      <c r="B28" s="36" t="s">
        <v>74</v>
      </c>
      <c r="C28" s="36" t="s">
        <v>131</v>
      </c>
      <c r="D28" s="36">
        <f t="shared" si="17"/>
        <v>0</v>
      </c>
      <c r="E28" s="36">
        <f t="shared" si="17"/>
        <v>0</v>
      </c>
      <c r="F28" s="36">
        <f t="shared" si="17"/>
        <v>0</v>
      </c>
      <c r="G28" s="36">
        <f t="shared" si="17"/>
        <v>0</v>
      </c>
      <c r="H28" s="36">
        <f t="shared" si="17"/>
        <v>0</v>
      </c>
      <c r="I28" s="36">
        <f t="shared" si="17"/>
        <v>0</v>
      </c>
      <c r="J28" s="36">
        <f t="shared" si="17"/>
        <v>0</v>
      </c>
      <c r="K28" s="36">
        <f t="shared" si="17"/>
        <v>0</v>
      </c>
      <c r="L28" s="36">
        <f t="shared" si="17"/>
        <v>0</v>
      </c>
      <c r="M28" s="36">
        <f t="shared" si="17"/>
        <v>0</v>
      </c>
      <c r="N28" s="53"/>
      <c r="O28" s="53"/>
      <c r="P28" s="53"/>
      <c r="Q28" s="53"/>
    </row>
    <row r="29" spans="1:17" x14ac:dyDescent="0.35">
      <c r="A29" s="48" t="s">
        <v>9</v>
      </c>
      <c r="B29" s="48" t="s">
        <v>11</v>
      </c>
      <c r="C29" s="48" t="s">
        <v>131</v>
      </c>
      <c r="D29" s="48">
        <f t="shared" si="17"/>
        <v>0</v>
      </c>
      <c r="E29" s="48">
        <f t="shared" si="17"/>
        <v>0</v>
      </c>
      <c r="F29" s="48">
        <f t="shared" si="17"/>
        <v>0</v>
      </c>
      <c r="G29" s="48">
        <f t="shared" si="17"/>
        <v>0</v>
      </c>
      <c r="H29" s="48">
        <f t="shared" si="17"/>
        <v>0</v>
      </c>
      <c r="I29" s="48">
        <f t="shared" si="17"/>
        <v>0</v>
      </c>
      <c r="J29" s="48">
        <f t="shared" si="17"/>
        <v>0</v>
      </c>
      <c r="K29" s="48">
        <f t="shared" si="17"/>
        <v>0</v>
      </c>
      <c r="L29" s="48">
        <f t="shared" si="17"/>
        <v>0</v>
      </c>
      <c r="M29" s="48">
        <f t="shared" si="17"/>
        <v>0</v>
      </c>
      <c r="N29" s="53"/>
      <c r="O29" s="53"/>
      <c r="P29" s="53"/>
      <c r="Q29" s="53"/>
    </row>
    <row r="30" spans="1:17" x14ac:dyDescent="0.35">
      <c r="A30" s="49">
        <f>(D50+E50+D51+E51+D52+E52+D52+E52+D53+E53+D54+E54)/$N$54</f>
        <v>0.22758620689655173</v>
      </c>
      <c r="B30" s="48" t="s">
        <v>72</v>
      </c>
      <c r="C30" s="48" t="s">
        <v>131</v>
      </c>
      <c r="D30" s="48">
        <f t="shared" si="17"/>
        <v>1</v>
      </c>
      <c r="E30" s="48">
        <f t="shared" si="17"/>
        <v>0</v>
      </c>
      <c r="F30" s="48">
        <f t="shared" si="17"/>
        <v>1</v>
      </c>
      <c r="G30" s="48">
        <f t="shared" si="17"/>
        <v>0</v>
      </c>
      <c r="H30" s="48">
        <f t="shared" si="17"/>
        <v>1</v>
      </c>
      <c r="I30" s="48">
        <f t="shared" si="17"/>
        <v>0</v>
      </c>
      <c r="J30" s="48">
        <f t="shared" si="17"/>
        <v>0</v>
      </c>
      <c r="K30" s="48">
        <f t="shared" si="17"/>
        <v>0</v>
      </c>
      <c r="L30" s="48">
        <f t="shared" si="17"/>
        <v>0</v>
      </c>
      <c r="M30" s="48">
        <f t="shared" si="17"/>
        <v>0</v>
      </c>
      <c r="N30" s="53"/>
      <c r="O30" s="53"/>
      <c r="P30" s="53"/>
      <c r="Q30" s="53"/>
    </row>
    <row r="31" spans="1:17" x14ac:dyDescent="0.35">
      <c r="A31" s="48"/>
      <c r="B31" s="48" t="s">
        <v>18</v>
      </c>
      <c r="C31" s="48" t="s">
        <v>131</v>
      </c>
      <c r="D31" s="48">
        <f t="shared" si="17"/>
        <v>7</v>
      </c>
      <c r="E31" s="48">
        <f t="shared" si="17"/>
        <v>2</v>
      </c>
      <c r="F31" s="48">
        <f t="shared" si="17"/>
        <v>9</v>
      </c>
      <c r="G31" s="48">
        <f t="shared" si="17"/>
        <v>0</v>
      </c>
      <c r="H31" s="48">
        <f t="shared" si="17"/>
        <v>0</v>
      </c>
      <c r="I31" s="48">
        <f t="shared" si="17"/>
        <v>9</v>
      </c>
      <c r="J31" s="48">
        <f t="shared" si="17"/>
        <v>0</v>
      </c>
      <c r="K31" s="48">
        <f t="shared" si="17"/>
        <v>0</v>
      </c>
      <c r="L31" s="48">
        <f t="shared" si="17"/>
        <v>0</v>
      </c>
      <c r="M31" s="48">
        <f t="shared" si="17"/>
        <v>0</v>
      </c>
      <c r="N31" s="53"/>
      <c r="O31" s="53"/>
      <c r="P31" s="53"/>
      <c r="Q31" s="53"/>
    </row>
    <row r="32" spans="1:17" x14ac:dyDescent="0.35">
      <c r="A32" s="48"/>
      <c r="B32" s="48" t="s">
        <v>13</v>
      </c>
      <c r="C32" s="48" t="s">
        <v>131</v>
      </c>
      <c r="D32" s="48">
        <f t="shared" si="17"/>
        <v>5</v>
      </c>
      <c r="E32" s="48">
        <f t="shared" si="17"/>
        <v>9</v>
      </c>
      <c r="F32" s="48">
        <f t="shared" si="17"/>
        <v>14</v>
      </c>
      <c r="G32" s="48">
        <f t="shared" si="17"/>
        <v>0</v>
      </c>
      <c r="H32" s="48">
        <f t="shared" si="17"/>
        <v>0</v>
      </c>
      <c r="I32" s="48">
        <f t="shared" si="17"/>
        <v>14</v>
      </c>
      <c r="J32" s="48">
        <f t="shared" si="17"/>
        <v>0</v>
      </c>
      <c r="K32" s="48">
        <f t="shared" si="17"/>
        <v>0</v>
      </c>
      <c r="L32" s="48">
        <f t="shared" si="17"/>
        <v>0</v>
      </c>
      <c r="M32" s="48">
        <f t="shared" si="17"/>
        <v>0</v>
      </c>
      <c r="N32" s="53"/>
      <c r="O32" s="53"/>
      <c r="P32" s="53"/>
      <c r="Q32" s="53"/>
    </row>
    <row r="33" spans="1:27" ht="15" thickBot="1" x14ac:dyDescent="0.4">
      <c r="A33" s="48"/>
      <c r="B33" s="48" t="s">
        <v>74</v>
      </c>
      <c r="C33" s="48" t="s">
        <v>131</v>
      </c>
      <c r="D33" s="48">
        <f t="shared" ref="D33:M33" si="18">D54</f>
        <v>0</v>
      </c>
      <c r="E33" s="48">
        <f t="shared" si="18"/>
        <v>0</v>
      </c>
      <c r="F33" s="48">
        <f t="shared" si="18"/>
        <v>0</v>
      </c>
      <c r="G33" s="48">
        <f t="shared" si="18"/>
        <v>0</v>
      </c>
      <c r="H33" s="48">
        <f t="shared" si="18"/>
        <v>0</v>
      </c>
      <c r="I33" s="48">
        <f t="shared" si="18"/>
        <v>0</v>
      </c>
      <c r="J33" s="48">
        <f t="shared" si="18"/>
        <v>0</v>
      </c>
      <c r="K33" s="48">
        <f t="shared" si="18"/>
        <v>0</v>
      </c>
      <c r="L33" s="48">
        <f t="shared" si="18"/>
        <v>0</v>
      </c>
      <c r="M33" s="48">
        <f t="shared" si="18"/>
        <v>0</v>
      </c>
      <c r="N33" s="53"/>
      <c r="O33" s="53"/>
      <c r="P33" s="53"/>
      <c r="Q33" s="53"/>
    </row>
    <row r="34" spans="1:27" ht="15" thickBot="1" x14ac:dyDescent="0.4">
      <c r="S34" s="91" t="s">
        <v>121</v>
      </c>
      <c r="T34" s="92"/>
      <c r="U34" s="92"/>
      <c r="V34" s="92"/>
      <c r="W34" s="92"/>
      <c r="X34" s="92"/>
      <c r="Y34" s="92"/>
      <c r="Z34" s="92"/>
      <c r="AA34" s="93"/>
    </row>
    <row r="35" spans="1:27" ht="49" customHeight="1" x14ac:dyDescent="0.35">
      <c r="A35" s="58" t="s">
        <v>135</v>
      </c>
      <c r="B35" s="1"/>
      <c r="C35" s="1"/>
      <c r="D35" s="1" t="s">
        <v>3</v>
      </c>
      <c r="E35" s="1" t="s">
        <v>4</v>
      </c>
      <c r="F35" s="1" t="s">
        <v>10</v>
      </c>
      <c r="G35" s="1" t="s">
        <v>17</v>
      </c>
      <c r="H35" s="1" t="s">
        <v>19</v>
      </c>
      <c r="I35" s="1" t="s">
        <v>20</v>
      </c>
      <c r="J35" s="1" t="s">
        <v>21</v>
      </c>
      <c r="K35" s="1" t="s">
        <v>22</v>
      </c>
      <c r="L35" s="1" t="s">
        <v>23</v>
      </c>
      <c r="M35" s="1" t="s">
        <v>24</v>
      </c>
      <c r="N35" s="10" t="s">
        <v>134</v>
      </c>
      <c r="O35" s="1"/>
      <c r="S35" s="34" t="s">
        <v>49</v>
      </c>
      <c r="T35" s="34" t="s">
        <v>51</v>
      </c>
      <c r="U35" s="34" t="s">
        <v>52</v>
      </c>
      <c r="V35" s="34" t="s">
        <v>53</v>
      </c>
      <c r="W35" s="34" t="s">
        <v>54</v>
      </c>
      <c r="X35" s="34" t="s">
        <v>55</v>
      </c>
      <c r="Y35" s="34" t="s">
        <v>56</v>
      </c>
      <c r="Z35" s="34" t="s">
        <v>57</v>
      </c>
      <c r="AA35" s="34" t="s">
        <v>58</v>
      </c>
    </row>
    <row r="36" spans="1:27" x14ac:dyDescent="0.35">
      <c r="A36" s="1" t="s">
        <v>5</v>
      </c>
      <c r="B36" s="1"/>
      <c r="C36" s="9">
        <f>(D78+E78+D99+E99+D120+E120+D141+E141+D162+E162+D183+E183+D204+E204)</f>
        <v>6</v>
      </c>
      <c r="D36" s="9"/>
      <c r="E36" s="1"/>
      <c r="F36" s="1"/>
      <c r="G36" s="1"/>
      <c r="H36" s="1"/>
      <c r="I36" s="1"/>
      <c r="J36" s="1"/>
      <c r="K36" s="1"/>
      <c r="L36" s="1"/>
      <c r="M36" s="1"/>
      <c r="N36" s="1">
        <f>(N57+N78+N99+N120+N141+N162+N183+N204)</f>
        <v>102</v>
      </c>
      <c r="O36" s="1" t="s">
        <v>43</v>
      </c>
      <c r="R36" s="17"/>
      <c r="S36" s="1" t="s">
        <v>95</v>
      </c>
      <c r="T36" s="1" t="s">
        <v>59</v>
      </c>
      <c r="U36" s="1" t="s">
        <v>59</v>
      </c>
      <c r="V36" s="1" t="s">
        <v>59</v>
      </c>
      <c r="W36" s="1" t="s">
        <v>60</v>
      </c>
      <c r="X36" s="1" t="s">
        <v>59</v>
      </c>
      <c r="Y36" s="1" t="s">
        <v>59</v>
      </c>
      <c r="Z36" s="1" t="s">
        <v>60</v>
      </c>
      <c r="AA36" s="1" t="s">
        <v>100</v>
      </c>
    </row>
    <row r="37" spans="1:27" x14ac:dyDescent="0.35">
      <c r="A37" s="1" t="s">
        <v>6</v>
      </c>
      <c r="B37" s="1" t="s">
        <v>11</v>
      </c>
      <c r="C37" s="1"/>
      <c r="D37" s="1">
        <f>(D58+D79+D100+D121+D142+D163+D184+D205)</f>
        <v>1</v>
      </c>
      <c r="E37" s="1">
        <f t="shared" ref="E37:M37" si="19">(E58+E79+E100+E121+E142+E163+E184+E205)</f>
        <v>1</v>
      </c>
      <c r="F37" s="1">
        <f t="shared" si="19"/>
        <v>2</v>
      </c>
      <c r="G37" s="1">
        <f t="shared" si="19"/>
        <v>0</v>
      </c>
      <c r="H37" s="1">
        <f t="shared" si="19"/>
        <v>0</v>
      </c>
      <c r="I37" s="1">
        <f t="shared" si="19"/>
        <v>0</v>
      </c>
      <c r="J37" s="1">
        <f t="shared" si="19"/>
        <v>2</v>
      </c>
      <c r="K37" s="1">
        <f t="shared" si="19"/>
        <v>0</v>
      </c>
      <c r="L37" s="1">
        <f t="shared" si="19"/>
        <v>0</v>
      </c>
      <c r="M37" s="1">
        <f t="shared" si="19"/>
        <v>0</v>
      </c>
      <c r="N37" s="1">
        <f>MIN(N58,N79,N100,N121,N142,N163,N184,N205)</f>
        <v>2</v>
      </c>
      <c r="O37" s="1" t="s">
        <v>44</v>
      </c>
      <c r="R37" s="17"/>
      <c r="S37" s="1" t="s">
        <v>95</v>
      </c>
      <c r="T37" s="1" t="s">
        <v>59</v>
      </c>
      <c r="U37" s="1" t="s">
        <v>59</v>
      </c>
      <c r="V37" s="1" t="s">
        <v>59</v>
      </c>
      <c r="W37" s="1" t="s">
        <v>60</v>
      </c>
      <c r="X37" s="1" t="s">
        <v>59</v>
      </c>
      <c r="Y37" s="1" t="s">
        <v>59</v>
      </c>
      <c r="Z37" s="1" t="s">
        <v>60</v>
      </c>
      <c r="AA37" s="1" t="s">
        <v>100</v>
      </c>
    </row>
    <row r="38" spans="1:27" x14ac:dyDescent="0.35">
      <c r="A38" s="1"/>
      <c r="B38" s="1" t="s">
        <v>72</v>
      </c>
      <c r="C38" s="1"/>
      <c r="D38" s="1">
        <f t="shared" ref="D38:M53" si="20">(D59+D80+D101+D122+D143+D164+D185+D206)</f>
        <v>0</v>
      </c>
      <c r="E38" s="1">
        <f t="shared" si="20"/>
        <v>0</v>
      </c>
      <c r="F38" s="1">
        <f t="shared" si="20"/>
        <v>0</v>
      </c>
      <c r="G38" s="1">
        <f t="shared" si="20"/>
        <v>0</v>
      </c>
      <c r="H38" s="1">
        <f t="shared" si="20"/>
        <v>0</v>
      </c>
      <c r="I38" s="1">
        <f t="shared" si="20"/>
        <v>0</v>
      </c>
      <c r="J38" s="1">
        <f t="shared" si="20"/>
        <v>0</v>
      </c>
      <c r="K38" s="1">
        <f t="shared" si="20"/>
        <v>0</v>
      </c>
      <c r="L38" s="1">
        <f t="shared" si="20"/>
        <v>0</v>
      </c>
      <c r="M38" s="1">
        <f t="shared" si="20"/>
        <v>0</v>
      </c>
      <c r="N38" s="1">
        <f>MAX(N59,N80,N101,N122,N143,N164,N185,N206)</f>
        <v>5</v>
      </c>
      <c r="O38" s="1" t="s">
        <v>45</v>
      </c>
      <c r="R38" s="17"/>
      <c r="S38" s="1" t="s">
        <v>95</v>
      </c>
      <c r="T38" s="1" t="s">
        <v>59</v>
      </c>
      <c r="U38" s="1" t="s">
        <v>59</v>
      </c>
      <c r="V38" s="1" t="s">
        <v>59</v>
      </c>
      <c r="W38" s="1" t="s">
        <v>60</v>
      </c>
      <c r="X38" s="1" t="s">
        <v>59</v>
      </c>
      <c r="Y38" s="1" t="s">
        <v>59</v>
      </c>
      <c r="Z38" s="1" t="s">
        <v>60</v>
      </c>
      <c r="AA38" s="1" t="s">
        <v>100</v>
      </c>
    </row>
    <row r="39" spans="1:27" x14ac:dyDescent="0.35">
      <c r="A39" s="1"/>
      <c r="B39" s="1" t="s">
        <v>18</v>
      </c>
      <c r="C39" s="1"/>
      <c r="D39" s="1">
        <f t="shared" si="20"/>
        <v>4</v>
      </c>
      <c r="E39" s="1">
        <f t="shared" si="20"/>
        <v>2</v>
      </c>
      <c r="F39" s="1">
        <f t="shared" si="20"/>
        <v>6</v>
      </c>
      <c r="G39" s="1">
        <f t="shared" si="20"/>
        <v>0</v>
      </c>
      <c r="H39" s="1">
        <f t="shared" si="20"/>
        <v>0</v>
      </c>
      <c r="I39" s="1">
        <f t="shared" si="20"/>
        <v>6</v>
      </c>
      <c r="J39" s="1">
        <f t="shared" si="20"/>
        <v>0</v>
      </c>
      <c r="K39" s="1">
        <f t="shared" si="20"/>
        <v>0</v>
      </c>
      <c r="L39" s="1">
        <f t="shared" si="20"/>
        <v>0</v>
      </c>
      <c r="M39" s="1">
        <f t="shared" si="20"/>
        <v>0</v>
      </c>
      <c r="N39" s="1">
        <f>AVERAGE(N60,N81,N102,N123,N144,N165,N186,N207)</f>
        <v>2.4050189393939392</v>
      </c>
      <c r="O39" s="1" t="s">
        <v>46</v>
      </c>
      <c r="R39" s="17"/>
      <c r="S39" s="1" t="s">
        <v>95</v>
      </c>
      <c r="T39" s="1" t="s">
        <v>59</v>
      </c>
      <c r="U39" s="1" t="s">
        <v>59</v>
      </c>
      <c r="V39" s="1" t="s">
        <v>59</v>
      </c>
      <c r="W39" s="1" t="s">
        <v>60</v>
      </c>
      <c r="X39" s="1" t="s">
        <v>59</v>
      </c>
      <c r="Y39" s="1" t="s">
        <v>59</v>
      </c>
      <c r="Z39" s="1" t="s">
        <v>60</v>
      </c>
      <c r="AA39" s="1" t="s">
        <v>100</v>
      </c>
    </row>
    <row r="40" spans="1:27" x14ac:dyDescent="0.35">
      <c r="A40" s="1"/>
      <c r="B40" s="1" t="s">
        <v>13</v>
      </c>
      <c r="C40" s="1"/>
      <c r="D40" s="1">
        <f t="shared" si="20"/>
        <v>3</v>
      </c>
      <c r="E40" s="1">
        <f t="shared" si="20"/>
        <v>4</v>
      </c>
      <c r="F40" s="1">
        <f t="shared" si="20"/>
        <v>7</v>
      </c>
      <c r="G40" s="1">
        <f t="shared" si="20"/>
        <v>0</v>
      </c>
      <c r="H40" s="1">
        <f t="shared" si="20"/>
        <v>0</v>
      </c>
      <c r="I40" s="1">
        <f t="shared" si="20"/>
        <v>7</v>
      </c>
      <c r="J40" s="1">
        <f t="shared" si="20"/>
        <v>0</v>
      </c>
      <c r="K40" s="1">
        <f t="shared" si="20"/>
        <v>0</v>
      </c>
      <c r="L40" s="1">
        <f t="shared" si="20"/>
        <v>0</v>
      </c>
      <c r="M40" s="1">
        <f t="shared" si="20"/>
        <v>0</v>
      </c>
      <c r="R40" s="17"/>
      <c r="S40" s="1" t="s">
        <v>95</v>
      </c>
      <c r="T40" s="1" t="s">
        <v>59</v>
      </c>
      <c r="U40" s="1" t="s">
        <v>59</v>
      </c>
      <c r="V40" s="1" t="s">
        <v>59</v>
      </c>
      <c r="W40" s="1" t="s">
        <v>60</v>
      </c>
      <c r="X40" s="1" t="s">
        <v>59</v>
      </c>
      <c r="Y40" s="1" t="s">
        <v>59</v>
      </c>
      <c r="Z40" s="1" t="s">
        <v>60</v>
      </c>
      <c r="AA40" s="1" t="s">
        <v>100</v>
      </c>
    </row>
    <row r="41" spans="1:27" x14ac:dyDescent="0.35">
      <c r="A41" s="1" t="s">
        <v>7</v>
      </c>
      <c r="B41" s="1" t="s">
        <v>11</v>
      </c>
      <c r="C41" s="1"/>
      <c r="D41" s="1">
        <f t="shared" si="20"/>
        <v>0</v>
      </c>
      <c r="E41" s="1">
        <f t="shared" si="20"/>
        <v>1</v>
      </c>
      <c r="F41" s="1">
        <f t="shared" si="20"/>
        <v>1</v>
      </c>
      <c r="G41" s="1">
        <f t="shared" si="20"/>
        <v>0</v>
      </c>
      <c r="H41" s="1">
        <f t="shared" si="20"/>
        <v>0</v>
      </c>
      <c r="I41" s="1">
        <f t="shared" si="20"/>
        <v>0</v>
      </c>
      <c r="J41" s="1">
        <f t="shared" si="20"/>
        <v>1</v>
      </c>
      <c r="K41" s="1">
        <f t="shared" si="20"/>
        <v>0</v>
      </c>
      <c r="L41" s="1">
        <f t="shared" si="20"/>
        <v>0</v>
      </c>
      <c r="M41" s="1">
        <f t="shared" si="20"/>
        <v>0</v>
      </c>
      <c r="R41" s="17"/>
    </row>
    <row r="42" spans="1:27" x14ac:dyDescent="0.35">
      <c r="A42" s="1"/>
      <c r="B42" s="1" t="s">
        <v>72</v>
      </c>
      <c r="C42" s="1"/>
      <c r="D42" s="1">
        <f t="shared" si="20"/>
        <v>0</v>
      </c>
      <c r="E42" s="1">
        <f t="shared" si="20"/>
        <v>0</v>
      </c>
      <c r="F42" s="1">
        <f t="shared" si="20"/>
        <v>0</v>
      </c>
      <c r="G42" s="1">
        <f t="shared" si="20"/>
        <v>0</v>
      </c>
      <c r="H42" s="1">
        <f t="shared" si="20"/>
        <v>0</v>
      </c>
      <c r="I42" s="1">
        <f t="shared" si="20"/>
        <v>0</v>
      </c>
      <c r="J42" s="1">
        <f t="shared" si="20"/>
        <v>0</v>
      </c>
      <c r="K42" s="1">
        <f t="shared" si="20"/>
        <v>0</v>
      </c>
      <c r="L42" s="1">
        <f t="shared" si="20"/>
        <v>0</v>
      </c>
      <c r="M42" s="1">
        <f t="shared" si="20"/>
        <v>0</v>
      </c>
      <c r="R42" s="17"/>
    </row>
    <row r="43" spans="1:27" x14ac:dyDescent="0.35">
      <c r="A43" s="1"/>
      <c r="B43" s="1" t="s">
        <v>18</v>
      </c>
      <c r="C43" s="1"/>
      <c r="D43" s="1">
        <f t="shared" si="20"/>
        <v>1</v>
      </c>
      <c r="E43" s="1">
        <f t="shared" si="20"/>
        <v>2</v>
      </c>
      <c r="F43" s="1">
        <f t="shared" si="20"/>
        <v>3</v>
      </c>
      <c r="G43" s="1">
        <f t="shared" si="20"/>
        <v>0</v>
      </c>
      <c r="H43" s="1">
        <f t="shared" si="20"/>
        <v>0</v>
      </c>
      <c r="I43" s="1">
        <f t="shared" si="20"/>
        <v>3</v>
      </c>
      <c r="J43" s="1">
        <f t="shared" si="20"/>
        <v>0</v>
      </c>
      <c r="K43" s="1">
        <f t="shared" si="20"/>
        <v>0</v>
      </c>
      <c r="L43" s="1">
        <f t="shared" si="20"/>
        <v>0</v>
      </c>
      <c r="M43" s="1">
        <f t="shared" si="20"/>
        <v>0</v>
      </c>
    </row>
    <row r="44" spans="1:27" x14ac:dyDescent="0.35">
      <c r="A44" s="1"/>
      <c r="B44" s="1" t="s">
        <v>13</v>
      </c>
      <c r="C44" s="1"/>
      <c r="D44" s="1">
        <f t="shared" si="20"/>
        <v>2</v>
      </c>
      <c r="E44" s="1">
        <f t="shared" si="20"/>
        <v>6</v>
      </c>
      <c r="F44" s="1">
        <f t="shared" si="20"/>
        <v>6</v>
      </c>
      <c r="G44" s="1">
        <f t="shared" si="20"/>
        <v>2</v>
      </c>
      <c r="H44" s="1">
        <f t="shared" si="20"/>
        <v>0</v>
      </c>
      <c r="I44" s="1">
        <f t="shared" si="20"/>
        <v>7</v>
      </c>
      <c r="J44" s="1">
        <f t="shared" si="20"/>
        <v>1</v>
      </c>
      <c r="K44" s="1">
        <f t="shared" si="20"/>
        <v>0</v>
      </c>
      <c r="L44" s="1">
        <f t="shared" si="20"/>
        <v>0</v>
      </c>
      <c r="M44" s="1">
        <f t="shared" si="20"/>
        <v>0</v>
      </c>
    </row>
    <row r="45" spans="1:27" x14ac:dyDescent="0.35">
      <c r="A45" s="1" t="s">
        <v>8</v>
      </c>
      <c r="B45" s="1" t="s">
        <v>11</v>
      </c>
      <c r="C45" s="1"/>
      <c r="D45" s="1">
        <f t="shared" si="20"/>
        <v>1</v>
      </c>
      <c r="E45" s="1">
        <f t="shared" si="20"/>
        <v>2</v>
      </c>
      <c r="F45" s="1">
        <f t="shared" si="20"/>
        <v>3</v>
      </c>
      <c r="G45" s="1">
        <f t="shared" si="20"/>
        <v>0</v>
      </c>
      <c r="H45" s="1">
        <f t="shared" si="20"/>
        <v>0</v>
      </c>
      <c r="I45" s="1">
        <f t="shared" si="20"/>
        <v>0</v>
      </c>
      <c r="J45" s="1">
        <f t="shared" si="20"/>
        <v>3</v>
      </c>
      <c r="K45" s="1">
        <f t="shared" si="20"/>
        <v>0</v>
      </c>
      <c r="L45" s="1">
        <f t="shared" si="20"/>
        <v>0</v>
      </c>
      <c r="M45" s="1">
        <f t="shared" si="20"/>
        <v>0</v>
      </c>
    </row>
    <row r="46" spans="1:27" x14ac:dyDescent="0.35">
      <c r="A46" s="1"/>
      <c r="B46" s="1" t="s">
        <v>72</v>
      </c>
      <c r="C46" s="1"/>
      <c r="D46" s="1">
        <f t="shared" si="20"/>
        <v>0</v>
      </c>
      <c r="E46" s="1">
        <f t="shared" si="20"/>
        <v>0</v>
      </c>
      <c r="F46" s="1">
        <f t="shared" si="20"/>
        <v>0</v>
      </c>
      <c r="G46" s="1">
        <f t="shared" si="20"/>
        <v>0</v>
      </c>
      <c r="H46" s="1">
        <f t="shared" si="20"/>
        <v>0</v>
      </c>
      <c r="I46" s="1">
        <f t="shared" si="20"/>
        <v>0</v>
      </c>
      <c r="J46" s="1">
        <f t="shared" si="20"/>
        <v>0</v>
      </c>
      <c r="K46" s="1">
        <f t="shared" si="20"/>
        <v>0</v>
      </c>
      <c r="L46" s="1">
        <f t="shared" si="20"/>
        <v>0</v>
      </c>
      <c r="M46" s="1">
        <f t="shared" si="20"/>
        <v>0</v>
      </c>
    </row>
    <row r="47" spans="1:27" x14ac:dyDescent="0.35">
      <c r="A47" s="1"/>
      <c r="B47" s="1" t="s">
        <v>18</v>
      </c>
      <c r="C47" s="1"/>
      <c r="D47" s="1">
        <f t="shared" si="20"/>
        <v>22</v>
      </c>
      <c r="E47" s="1">
        <f t="shared" si="20"/>
        <v>22</v>
      </c>
      <c r="F47" s="1">
        <f t="shared" si="20"/>
        <v>43</v>
      </c>
      <c r="G47" s="1">
        <f t="shared" si="20"/>
        <v>1</v>
      </c>
      <c r="H47" s="1">
        <f t="shared" si="20"/>
        <v>0</v>
      </c>
      <c r="I47" s="1">
        <f t="shared" si="20"/>
        <v>44</v>
      </c>
      <c r="J47" s="1">
        <f t="shared" si="20"/>
        <v>0</v>
      </c>
      <c r="K47" s="1">
        <f t="shared" si="20"/>
        <v>0</v>
      </c>
      <c r="L47" s="1">
        <f t="shared" si="20"/>
        <v>0</v>
      </c>
      <c r="M47" s="1">
        <f t="shared" si="20"/>
        <v>0</v>
      </c>
    </row>
    <row r="48" spans="1:27" x14ac:dyDescent="0.35">
      <c r="A48" s="1"/>
      <c r="B48" s="1" t="s">
        <v>13</v>
      </c>
      <c r="C48" s="1"/>
      <c r="D48" s="1">
        <f t="shared" si="20"/>
        <v>19</v>
      </c>
      <c r="E48" s="1">
        <f t="shared" si="20"/>
        <v>22</v>
      </c>
      <c r="F48" s="1">
        <f t="shared" si="20"/>
        <v>35</v>
      </c>
      <c r="G48" s="1">
        <f t="shared" si="20"/>
        <v>6</v>
      </c>
      <c r="H48" s="1">
        <f t="shared" si="20"/>
        <v>0</v>
      </c>
      <c r="I48" s="1">
        <f t="shared" si="20"/>
        <v>40</v>
      </c>
      <c r="J48" s="1">
        <f t="shared" si="20"/>
        <v>1</v>
      </c>
      <c r="K48" s="1">
        <f t="shared" si="20"/>
        <v>0</v>
      </c>
      <c r="L48" s="1">
        <f t="shared" si="20"/>
        <v>0</v>
      </c>
      <c r="M48" s="1">
        <f t="shared" si="20"/>
        <v>0</v>
      </c>
    </row>
    <row r="49" spans="1:15" x14ac:dyDescent="0.35">
      <c r="A49" s="1"/>
      <c r="B49" s="1" t="s">
        <v>74</v>
      </c>
      <c r="C49" s="1"/>
      <c r="D49" s="1">
        <f t="shared" si="20"/>
        <v>0</v>
      </c>
      <c r="E49" s="1">
        <f t="shared" si="20"/>
        <v>0</v>
      </c>
      <c r="F49" s="1">
        <f t="shared" si="20"/>
        <v>0</v>
      </c>
      <c r="G49" s="1">
        <f t="shared" si="20"/>
        <v>0</v>
      </c>
      <c r="H49" s="1">
        <f t="shared" si="20"/>
        <v>0</v>
      </c>
      <c r="I49" s="1">
        <f t="shared" si="20"/>
        <v>0</v>
      </c>
      <c r="J49" s="1">
        <f t="shared" si="20"/>
        <v>0</v>
      </c>
      <c r="K49" s="1">
        <f t="shared" si="20"/>
        <v>0</v>
      </c>
      <c r="L49" s="1">
        <f t="shared" si="20"/>
        <v>0</v>
      </c>
      <c r="M49" s="1">
        <f t="shared" si="20"/>
        <v>0</v>
      </c>
    </row>
    <row r="50" spans="1:15" x14ac:dyDescent="0.35">
      <c r="A50" s="1" t="s">
        <v>9</v>
      </c>
      <c r="B50" s="1" t="s">
        <v>11</v>
      </c>
      <c r="C50" s="1"/>
      <c r="D50" s="1">
        <f t="shared" si="20"/>
        <v>0</v>
      </c>
      <c r="E50" s="1">
        <f t="shared" si="20"/>
        <v>0</v>
      </c>
      <c r="F50" s="1">
        <f t="shared" si="20"/>
        <v>0</v>
      </c>
      <c r="G50" s="1">
        <f t="shared" si="20"/>
        <v>0</v>
      </c>
      <c r="H50" s="1">
        <f t="shared" si="20"/>
        <v>0</v>
      </c>
      <c r="I50" s="1">
        <f t="shared" si="20"/>
        <v>0</v>
      </c>
      <c r="J50" s="1">
        <f t="shared" si="20"/>
        <v>0</v>
      </c>
      <c r="K50" s="1">
        <f t="shared" si="20"/>
        <v>0</v>
      </c>
      <c r="L50" s="1">
        <f t="shared" si="20"/>
        <v>0</v>
      </c>
      <c r="M50" s="1">
        <f t="shared" si="20"/>
        <v>0</v>
      </c>
    </row>
    <row r="51" spans="1:15" x14ac:dyDescent="0.35">
      <c r="A51" s="1"/>
      <c r="B51" s="1" t="s">
        <v>69</v>
      </c>
      <c r="C51" s="1"/>
      <c r="D51" s="1">
        <f t="shared" si="20"/>
        <v>1</v>
      </c>
      <c r="E51" s="1">
        <f t="shared" si="20"/>
        <v>0</v>
      </c>
      <c r="F51" s="1">
        <f t="shared" si="20"/>
        <v>1</v>
      </c>
      <c r="G51" s="1">
        <f t="shared" si="20"/>
        <v>0</v>
      </c>
      <c r="H51" s="1">
        <f t="shared" si="20"/>
        <v>1</v>
      </c>
      <c r="I51" s="1">
        <f t="shared" si="20"/>
        <v>0</v>
      </c>
      <c r="J51" s="1">
        <f t="shared" si="20"/>
        <v>0</v>
      </c>
      <c r="K51" s="1">
        <f t="shared" si="20"/>
        <v>0</v>
      </c>
      <c r="L51" s="1">
        <f t="shared" si="20"/>
        <v>0</v>
      </c>
      <c r="M51" s="1">
        <f t="shared" si="20"/>
        <v>0</v>
      </c>
    </row>
    <row r="52" spans="1:15" x14ac:dyDescent="0.35">
      <c r="A52" s="1"/>
      <c r="B52" s="1" t="s">
        <v>18</v>
      </c>
      <c r="C52" s="1"/>
      <c r="D52" s="1">
        <f t="shared" si="20"/>
        <v>7</v>
      </c>
      <c r="E52" s="1">
        <f t="shared" si="20"/>
        <v>2</v>
      </c>
      <c r="F52" s="1">
        <f t="shared" si="20"/>
        <v>9</v>
      </c>
      <c r="G52" s="1">
        <f t="shared" si="20"/>
        <v>0</v>
      </c>
      <c r="H52" s="1">
        <f t="shared" si="20"/>
        <v>0</v>
      </c>
      <c r="I52" s="1">
        <f t="shared" si="20"/>
        <v>9</v>
      </c>
      <c r="J52" s="1">
        <f t="shared" si="20"/>
        <v>0</v>
      </c>
      <c r="K52" s="1">
        <f t="shared" si="20"/>
        <v>0</v>
      </c>
      <c r="L52" s="1">
        <f t="shared" si="20"/>
        <v>0</v>
      </c>
      <c r="M52" s="1">
        <f t="shared" si="20"/>
        <v>0</v>
      </c>
    </row>
    <row r="53" spans="1:15" x14ac:dyDescent="0.35">
      <c r="A53" s="1"/>
      <c r="B53" s="1" t="s">
        <v>13</v>
      </c>
      <c r="C53" s="1"/>
      <c r="D53" s="1">
        <f t="shared" si="20"/>
        <v>5</v>
      </c>
      <c r="E53" s="1">
        <f t="shared" si="20"/>
        <v>9</v>
      </c>
      <c r="F53" s="1">
        <f t="shared" si="20"/>
        <v>14</v>
      </c>
      <c r="G53" s="1">
        <f t="shared" si="20"/>
        <v>0</v>
      </c>
      <c r="H53" s="1">
        <f t="shared" si="20"/>
        <v>0</v>
      </c>
      <c r="I53" s="1">
        <f t="shared" si="20"/>
        <v>14</v>
      </c>
      <c r="J53" s="1">
        <f t="shared" si="20"/>
        <v>0</v>
      </c>
      <c r="K53" s="1">
        <f t="shared" si="20"/>
        <v>0</v>
      </c>
      <c r="L53" s="1">
        <f t="shared" si="20"/>
        <v>0</v>
      </c>
      <c r="M53" s="1">
        <f t="shared" si="20"/>
        <v>0</v>
      </c>
      <c r="N53" s="12" t="s">
        <v>66</v>
      </c>
    </row>
    <row r="54" spans="1:15" x14ac:dyDescent="0.35">
      <c r="A54" s="1"/>
      <c r="B54" s="1" t="s">
        <v>74</v>
      </c>
      <c r="C54" s="1"/>
      <c r="D54" s="1">
        <f t="shared" ref="D54:M54" si="21">(D75+D96+D117+D138+D159+D180+D201+D222)</f>
        <v>0</v>
      </c>
      <c r="E54" s="1">
        <f t="shared" si="21"/>
        <v>0</v>
      </c>
      <c r="F54" s="1">
        <f t="shared" si="21"/>
        <v>0</v>
      </c>
      <c r="G54" s="1">
        <f t="shared" si="21"/>
        <v>0</v>
      </c>
      <c r="H54" s="1">
        <f t="shared" si="21"/>
        <v>0</v>
      </c>
      <c r="I54" s="1">
        <f t="shared" si="21"/>
        <v>0</v>
      </c>
      <c r="J54" s="1">
        <f t="shared" si="21"/>
        <v>0</v>
      </c>
      <c r="K54" s="1">
        <f t="shared" si="21"/>
        <v>0</v>
      </c>
      <c r="L54" s="1">
        <f t="shared" si="21"/>
        <v>0</v>
      </c>
      <c r="M54" s="1">
        <f t="shared" si="21"/>
        <v>0</v>
      </c>
      <c r="N54" s="12">
        <f>SUM(C36:E54)</f>
        <v>145</v>
      </c>
    </row>
    <row r="56" spans="1:15" x14ac:dyDescent="0.35">
      <c r="A56" s="18" t="s">
        <v>79</v>
      </c>
      <c r="B56" s="20">
        <v>44646</v>
      </c>
      <c r="C56" s="16" t="s">
        <v>42</v>
      </c>
      <c r="D56" s="16" t="s">
        <v>3</v>
      </c>
      <c r="E56" s="16" t="s">
        <v>4</v>
      </c>
      <c r="F56" s="16" t="s">
        <v>10</v>
      </c>
      <c r="G56" s="16" t="s">
        <v>17</v>
      </c>
      <c r="H56" s="16" t="s">
        <v>19</v>
      </c>
      <c r="I56" s="16" t="s">
        <v>20</v>
      </c>
      <c r="J56" s="16" t="s">
        <v>21</v>
      </c>
      <c r="K56" s="16" t="s">
        <v>22</v>
      </c>
      <c r="L56" s="16" t="s">
        <v>23</v>
      </c>
      <c r="M56" s="16" t="s">
        <v>24</v>
      </c>
      <c r="N56" s="16" t="s">
        <v>15</v>
      </c>
    </row>
    <row r="57" spans="1:15" x14ac:dyDescent="0.35">
      <c r="A57" s="16" t="s">
        <v>5</v>
      </c>
      <c r="D57" s="16">
        <v>0</v>
      </c>
      <c r="E57" s="16">
        <v>0</v>
      </c>
      <c r="N57" s="16">
        <v>8</v>
      </c>
      <c r="O57" s="16" t="s">
        <v>43</v>
      </c>
    </row>
    <row r="58" spans="1:15" x14ac:dyDescent="0.35">
      <c r="A58" s="16" t="s">
        <v>6</v>
      </c>
      <c r="B58" s="16" t="s">
        <v>11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2</v>
      </c>
      <c r="O58" s="16" t="s">
        <v>44</v>
      </c>
    </row>
    <row r="59" spans="1:15" x14ac:dyDescent="0.35">
      <c r="B59" s="16" t="s">
        <v>72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2</v>
      </c>
      <c r="O59" s="16" t="s">
        <v>45</v>
      </c>
    </row>
    <row r="60" spans="1:15" x14ac:dyDescent="0.35">
      <c r="B60" s="16" t="s">
        <v>18</v>
      </c>
      <c r="D60" s="16">
        <v>1</v>
      </c>
      <c r="E60" s="16">
        <v>0</v>
      </c>
      <c r="F60" s="16">
        <v>1</v>
      </c>
      <c r="G60" s="16">
        <v>0</v>
      </c>
      <c r="H60" s="16">
        <v>0</v>
      </c>
      <c r="I60" s="16">
        <v>1</v>
      </c>
      <c r="J60" s="16">
        <v>0</v>
      </c>
      <c r="K60" s="16">
        <v>0</v>
      </c>
      <c r="L60" s="16">
        <v>0</v>
      </c>
      <c r="M60" s="16">
        <v>0</v>
      </c>
      <c r="N60" s="16">
        <v>2</v>
      </c>
      <c r="O60" s="16" t="s">
        <v>46</v>
      </c>
    </row>
    <row r="61" spans="1:15" x14ac:dyDescent="0.35">
      <c r="B61" s="16" t="s">
        <v>13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</row>
    <row r="62" spans="1:15" x14ac:dyDescent="0.35">
      <c r="A62" s="16" t="s">
        <v>7</v>
      </c>
      <c r="B62" s="16" t="s">
        <v>11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</row>
    <row r="63" spans="1:15" x14ac:dyDescent="0.35">
      <c r="B63" s="16" t="s">
        <v>72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</row>
    <row r="64" spans="1:15" x14ac:dyDescent="0.35">
      <c r="B64" s="16" t="s">
        <v>18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</row>
    <row r="65" spans="1:15" x14ac:dyDescent="0.35">
      <c r="B65" s="16" t="s">
        <v>13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</row>
    <row r="66" spans="1:15" x14ac:dyDescent="0.35">
      <c r="A66" s="16" t="s">
        <v>8</v>
      </c>
      <c r="B66" s="16" t="s">
        <v>11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</row>
    <row r="67" spans="1:15" x14ac:dyDescent="0.35">
      <c r="B67" s="16" t="s">
        <v>72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</row>
    <row r="68" spans="1:15" x14ac:dyDescent="0.35">
      <c r="B68" s="16" t="s">
        <v>18</v>
      </c>
      <c r="D68" s="16">
        <v>5</v>
      </c>
      <c r="E68" s="16">
        <v>3</v>
      </c>
      <c r="F68" s="16">
        <v>8</v>
      </c>
      <c r="G68" s="16">
        <v>0</v>
      </c>
      <c r="H68" s="16">
        <v>0</v>
      </c>
      <c r="I68" s="16">
        <v>8</v>
      </c>
      <c r="J68" s="16">
        <v>0</v>
      </c>
      <c r="K68" s="16">
        <v>0</v>
      </c>
      <c r="L68" s="16">
        <v>0</v>
      </c>
      <c r="M68" s="16">
        <v>0</v>
      </c>
    </row>
    <row r="69" spans="1:15" x14ac:dyDescent="0.35">
      <c r="B69" s="16" t="s">
        <v>13</v>
      </c>
      <c r="D69" s="16">
        <v>0</v>
      </c>
      <c r="E69" s="16">
        <v>2</v>
      </c>
      <c r="F69" s="16">
        <v>2</v>
      </c>
      <c r="G69" s="16">
        <v>0</v>
      </c>
      <c r="H69" s="16">
        <v>0</v>
      </c>
      <c r="I69" s="16">
        <v>2</v>
      </c>
      <c r="J69" s="16">
        <v>0</v>
      </c>
      <c r="K69" s="16">
        <v>0</v>
      </c>
      <c r="L69" s="16">
        <v>0</v>
      </c>
      <c r="M69" s="16">
        <v>0</v>
      </c>
    </row>
    <row r="70" spans="1:15" x14ac:dyDescent="0.35">
      <c r="B70" s="16" t="s">
        <v>74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</row>
    <row r="71" spans="1:15" x14ac:dyDescent="0.35">
      <c r="A71" s="16" t="s">
        <v>9</v>
      </c>
      <c r="B71" s="16" t="s">
        <v>11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</row>
    <row r="72" spans="1:15" x14ac:dyDescent="0.35">
      <c r="B72" s="16" t="s">
        <v>72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</row>
    <row r="73" spans="1:15" x14ac:dyDescent="0.35">
      <c r="B73" s="16" t="s">
        <v>18</v>
      </c>
      <c r="D73" s="16">
        <v>2</v>
      </c>
      <c r="E73" s="16">
        <v>1</v>
      </c>
      <c r="F73" s="16">
        <v>3</v>
      </c>
      <c r="G73" s="16">
        <v>0</v>
      </c>
      <c r="H73" s="16">
        <v>0</v>
      </c>
      <c r="I73" s="16">
        <v>3</v>
      </c>
      <c r="J73" s="16">
        <v>0</v>
      </c>
      <c r="K73" s="16">
        <v>0</v>
      </c>
      <c r="L73" s="16">
        <v>0</v>
      </c>
      <c r="M73" s="16">
        <v>0</v>
      </c>
    </row>
    <row r="74" spans="1:15" x14ac:dyDescent="0.35">
      <c r="B74" s="16" t="s">
        <v>13</v>
      </c>
      <c r="D74" s="16">
        <v>0</v>
      </c>
      <c r="E74" s="16">
        <v>1</v>
      </c>
      <c r="F74" s="16">
        <v>1</v>
      </c>
      <c r="G74" s="16">
        <v>0</v>
      </c>
      <c r="H74" s="16">
        <v>0</v>
      </c>
      <c r="I74" s="16">
        <v>1</v>
      </c>
      <c r="J74" s="16">
        <v>0</v>
      </c>
      <c r="K74" s="16">
        <v>0</v>
      </c>
      <c r="L74" s="16">
        <v>0</v>
      </c>
      <c r="M74" s="16">
        <v>0</v>
      </c>
    </row>
    <row r="75" spans="1:15" x14ac:dyDescent="0.35">
      <c r="B75" s="16" t="s">
        <v>74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</row>
    <row r="77" spans="1:15" x14ac:dyDescent="0.35">
      <c r="A77" s="18" t="s">
        <v>79</v>
      </c>
      <c r="B77" s="19">
        <v>44646</v>
      </c>
      <c r="C77" s="16" t="s">
        <v>81</v>
      </c>
      <c r="D77" s="16" t="s">
        <v>3</v>
      </c>
      <c r="E77" s="16" t="s">
        <v>4</v>
      </c>
      <c r="F77" s="16" t="s">
        <v>10</v>
      </c>
      <c r="G77" s="16" t="s">
        <v>17</v>
      </c>
      <c r="H77" s="16" t="s">
        <v>19</v>
      </c>
      <c r="I77" s="16" t="s">
        <v>20</v>
      </c>
      <c r="J77" s="16" t="s">
        <v>21</v>
      </c>
      <c r="K77" s="16" t="s">
        <v>22</v>
      </c>
      <c r="L77" s="16" t="s">
        <v>23</v>
      </c>
      <c r="M77" s="16" t="s">
        <v>24</v>
      </c>
      <c r="N77" s="16" t="s">
        <v>15</v>
      </c>
    </row>
    <row r="78" spans="1:15" x14ac:dyDescent="0.35">
      <c r="A78" s="16" t="s">
        <v>5</v>
      </c>
      <c r="D78" s="16">
        <v>2</v>
      </c>
      <c r="E78" s="16">
        <v>0</v>
      </c>
      <c r="N78" s="16">
        <v>13</v>
      </c>
      <c r="O78" s="16" t="s">
        <v>43</v>
      </c>
    </row>
    <row r="79" spans="1:15" x14ac:dyDescent="0.35">
      <c r="A79" s="16" t="s">
        <v>6</v>
      </c>
      <c r="B79" s="16" t="s">
        <v>11</v>
      </c>
      <c r="D79" s="16">
        <v>1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1</v>
      </c>
      <c r="K79" s="16">
        <v>0</v>
      </c>
      <c r="L79" s="16">
        <v>0</v>
      </c>
      <c r="M79" s="16">
        <v>0</v>
      </c>
      <c r="N79" s="16">
        <v>2</v>
      </c>
      <c r="O79" s="16" t="s">
        <v>44</v>
      </c>
    </row>
    <row r="80" spans="1:15" x14ac:dyDescent="0.35">
      <c r="B80" s="16" t="s">
        <v>72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3</v>
      </c>
      <c r="O80" s="16" t="s">
        <v>45</v>
      </c>
    </row>
    <row r="81" spans="1:15" x14ac:dyDescent="0.35">
      <c r="B81" s="16" t="s">
        <v>18</v>
      </c>
      <c r="D81" s="16">
        <v>1</v>
      </c>
      <c r="E81" s="16">
        <v>0</v>
      </c>
      <c r="F81" s="16">
        <v>1</v>
      </c>
      <c r="G81" s="16">
        <v>0</v>
      </c>
      <c r="H81" s="16">
        <v>0</v>
      </c>
      <c r="I81" s="16">
        <v>1</v>
      </c>
      <c r="J81" s="16">
        <v>0</v>
      </c>
      <c r="K81" s="16">
        <v>0</v>
      </c>
      <c r="L81" s="16">
        <v>0</v>
      </c>
      <c r="M81" s="16">
        <v>0</v>
      </c>
      <c r="N81" s="16">
        <v>2.6</v>
      </c>
      <c r="O81" s="16" t="s">
        <v>46</v>
      </c>
    </row>
    <row r="82" spans="1:15" x14ac:dyDescent="0.35">
      <c r="B82" s="16" t="s">
        <v>13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</row>
    <row r="83" spans="1:15" x14ac:dyDescent="0.35">
      <c r="A83" s="16" t="s">
        <v>7</v>
      </c>
      <c r="B83" s="16" t="s">
        <v>11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</row>
    <row r="84" spans="1:15" x14ac:dyDescent="0.35">
      <c r="B84" s="16" t="s">
        <v>72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</row>
    <row r="85" spans="1:15" x14ac:dyDescent="0.35">
      <c r="B85" s="16" t="s">
        <v>18</v>
      </c>
      <c r="D85" s="16">
        <v>0</v>
      </c>
      <c r="E85" s="16">
        <v>2</v>
      </c>
      <c r="F85" s="16">
        <v>2</v>
      </c>
      <c r="G85" s="16">
        <v>0</v>
      </c>
      <c r="H85" s="16">
        <v>0</v>
      </c>
      <c r="I85" s="16">
        <v>2</v>
      </c>
      <c r="J85" s="16">
        <v>0</v>
      </c>
      <c r="K85" s="16">
        <v>0</v>
      </c>
      <c r="L85" s="16">
        <v>0</v>
      </c>
      <c r="M85" s="16">
        <v>0</v>
      </c>
    </row>
    <row r="86" spans="1:15" x14ac:dyDescent="0.35">
      <c r="B86" s="16" t="s">
        <v>13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</row>
    <row r="87" spans="1:15" x14ac:dyDescent="0.35">
      <c r="A87" s="16" t="s">
        <v>8</v>
      </c>
      <c r="B87" s="16" t="s">
        <v>11</v>
      </c>
      <c r="D87" s="16">
        <v>0</v>
      </c>
      <c r="E87" s="16">
        <v>1</v>
      </c>
      <c r="F87" s="16">
        <v>1</v>
      </c>
      <c r="G87" s="16">
        <v>0</v>
      </c>
      <c r="H87" s="16">
        <v>0</v>
      </c>
      <c r="I87" s="16">
        <v>0</v>
      </c>
      <c r="J87" s="16">
        <v>1</v>
      </c>
      <c r="K87" s="16">
        <v>0</v>
      </c>
      <c r="L87" s="16">
        <v>0</v>
      </c>
      <c r="M87" s="16">
        <v>0</v>
      </c>
    </row>
    <row r="88" spans="1:15" x14ac:dyDescent="0.35">
      <c r="B88" s="16" t="s">
        <v>72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</row>
    <row r="89" spans="1:15" x14ac:dyDescent="0.35">
      <c r="B89" s="16" t="s">
        <v>18</v>
      </c>
      <c r="D89" s="16">
        <v>0</v>
      </c>
      <c r="E89" s="16">
        <v>3</v>
      </c>
      <c r="F89" s="16">
        <v>3</v>
      </c>
      <c r="G89" s="16">
        <v>0</v>
      </c>
      <c r="H89" s="16">
        <v>0</v>
      </c>
      <c r="I89" s="16">
        <v>3</v>
      </c>
      <c r="J89" s="16">
        <v>0</v>
      </c>
      <c r="K89" s="16">
        <v>0</v>
      </c>
      <c r="L89" s="16">
        <v>0</v>
      </c>
      <c r="M89" s="16">
        <v>0</v>
      </c>
    </row>
    <row r="90" spans="1:15" x14ac:dyDescent="0.35">
      <c r="B90" s="16" t="s">
        <v>13</v>
      </c>
      <c r="D90" s="16">
        <v>4</v>
      </c>
      <c r="E90" s="16">
        <v>2</v>
      </c>
      <c r="F90" s="16">
        <v>4</v>
      </c>
      <c r="G90" s="16">
        <v>2</v>
      </c>
      <c r="H90" s="16">
        <v>0</v>
      </c>
      <c r="I90" s="16">
        <v>6</v>
      </c>
      <c r="J90" s="16">
        <v>0</v>
      </c>
      <c r="K90" s="16">
        <v>0</v>
      </c>
      <c r="L90" s="16">
        <v>0</v>
      </c>
      <c r="M90" s="16">
        <v>0</v>
      </c>
    </row>
    <row r="91" spans="1:15" x14ac:dyDescent="0.35">
      <c r="B91" s="16" t="s">
        <v>74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</row>
    <row r="92" spans="1:15" x14ac:dyDescent="0.35">
      <c r="A92" s="16" t="s">
        <v>9</v>
      </c>
      <c r="B92" s="16" t="s">
        <v>11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</row>
    <row r="93" spans="1:15" x14ac:dyDescent="0.35">
      <c r="B93" s="16" t="s">
        <v>72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</row>
    <row r="94" spans="1:15" x14ac:dyDescent="0.35">
      <c r="B94" s="16" t="s">
        <v>18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</row>
    <row r="95" spans="1:15" x14ac:dyDescent="0.35">
      <c r="B95" s="16" t="s">
        <v>13</v>
      </c>
      <c r="D95" s="16">
        <v>1</v>
      </c>
      <c r="E95" s="16">
        <v>2</v>
      </c>
      <c r="F95" s="16">
        <v>3</v>
      </c>
      <c r="G95" s="16">
        <v>0</v>
      </c>
      <c r="H95" s="16">
        <v>0</v>
      </c>
      <c r="I95" s="16">
        <v>3</v>
      </c>
      <c r="J95" s="16">
        <v>0</v>
      </c>
      <c r="K95" s="16">
        <v>0</v>
      </c>
      <c r="L95" s="16">
        <v>0</v>
      </c>
      <c r="M95" s="16">
        <v>0</v>
      </c>
    </row>
    <row r="96" spans="1:15" x14ac:dyDescent="0.35">
      <c r="B96" s="16" t="s">
        <v>74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</row>
    <row r="98" spans="1:15" x14ac:dyDescent="0.35">
      <c r="A98" s="18" t="s">
        <v>79</v>
      </c>
      <c r="B98" s="20">
        <v>44646</v>
      </c>
      <c r="C98" s="16" t="s">
        <v>48</v>
      </c>
      <c r="D98" s="16" t="s">
        <v>3</v>
      </c>
      <c r="E98" s="16" t="s">
        <v>4</v>
      </c>
      <c r="F98" s="16" t="s">
        <v>10</v>
      </c>
      <c r="G98" s="16" t="s">
        <v>17</v>
      </c>
      <c r="H98" s="16" t="s">
        <v>19</v>
      </c>
      <c r="I98" s="16" t="s">
        <v>20</v>
      </c>
      <c r="J98" s="16" t="s">
        <v>21</v>
      </c>
      <c r="K98" s="16" t="s">
        <v>22</v>
      </c>
      <c r="L98" s="16" t="s">
        <v>23</v>
      </c>
      <c r="M98" s="16" t="s">
        <v>24</v>
      </c>
      <c r="N98" s="16" t="s">
        <v>15</v>
      </c>
    </row>
    <row r="99" spans="1:15" x14ac:dyDescent="0.35">
      <c r="A99" s="16" t="s">
        <v>5</v>
      </c>
      <c r="D99" s="16">
        <v>0</v>
      </c>
      <c r="E99" s="16">
        <v>1</v>
      </c>
      <c r="N99" s="16">
        <v>24</v>
      </c>
      <c r="O99" s="16" t="s">
        <v>43</v>
      </c>
    </row>
    <row r="100" spans="1:15" x14ac:dyDescent="0.35">
      <c r="A100" s="16" t="s">
        <v>6</v>
      </c>
      <c r="B100" s="16" t="s">
        <v>11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2</v>
      </c>
      <c r="O100" s="16" t="s">
        <v>44</v>
      </c>
    </row>
    <row r="101" spans="1:15" x14ac:dyDescent="0.35">
      <c r="B101" s="16" t="s">
        <v>72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3</v>
      </c>
      <c r="O101" s="16" t="s">
        <v>45</v>
      </c>
    </row>
    <row r="102" spans="1:15" x14ac:dyDescent="0.35">
      <c r="B102" s="16" t="s">
        <v>18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2.1818181818181817</v>
      </c>
      <c r="O102" s="16" t="s">
        <v>46</v>
      </c>
    </row>
    <row r="103" spans="1:15" x14ac:dyDescent="0.35">
      <c r="B103" s="16" t="s">
        <v>13</v>
      </c>
      <c r="D103" s="16">
        <v>1</v>
      </c>
      <c r="E103" s="16">
        <v>1</v>
      </c>
      <c r="F103" s="16">
        <v>2</v>
      </c>
      <c r="G103" s="16">
        <v>0</v>
      </c>
      <c r="H103" s="16">
        <v>0</v>
      </c>
      <c r="I103" s="16">
        <v>2</v>
      </c>
      <c r="J103" s="16">
        <v>0</v>
      </c>
      <c r="K103" s="16">
        <v>0</v>
      </c>
      <c r="L103" s="16">
        <v>0</v>
      </c>
      <c r="M103" s="16">
        <v>0</v>
      </c>
    </row>
    <row r="104" spans="1:15" x14ac:dyDescent="0.35">
      <c r="A104" s="16" t="s">
        <v>7</v>
      </c>
      <c r="B104" s="16" t="s">
        <v>11</v>
      </c>
      <c r="D104" s="16">
        <v>0</v>
      </c>
      <c r="E104" s="16">
        <v>1</v>
      </c>
      <c r="F104" s="16">
        <v>1</v>
      </c>
      <c r="G104" s="16">
        <v>0</v>
      </c>
      <c r="H104" s="16">
        <v>0</v>
      </c>
      <c r="I104" s="16">
        <v>0</v>
      </c>
      <c r="J104" s="16">
        <v>1</v>
      </c>
      <c r="K104" s="16">
        <v>0</v>
      </c>
      <c r="L104" s="16">
        <v>0</v>
      </c>
      <c r="M104" s="16">
        <v>0</v>
      </c>
    </row>
    <row r="105" spans="1:15" x14ac:dyDescent="0.35">
      <c r="B105" s="16" t="s">
        <v>72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</row>
    <row r="106" spans="1:15" x14ac:dyDescent="0.35">
      <c r="B106" s="16" t="s">
        <v>18</v>
      </c>
      <c r="D106" s="16">
        <v>1</v>
      </c>
      <c r="E106" s="16">
        <v>0</v>
      </c>
      <c r="F106" s="16">
        <v>1</v>
      </c>
      <c r="G106" s="16">
        <v>0</v>
      </c>
      <c r="H106" s="16">
        <v>0</v>
      </c>
      <c r="I106" s="16">
        <v>1</v>
      </c>
      <c r="J106" s="16">
        <v>0</v>
      </c>
      <c r="K106" s="16">
        <v>0</v>
      </c>
      <c r="L106" s="16">
        <v>0</v>
      </c>
      <c r="M106" s="16">
        <v>0</v>
      </c>
    </row>
    <row r="107" spans="1:15" x14ac:dyDescent="0.35">
      <c r="B107" s="16" t="s">
        <v>13</v>
      </c>
      <c r="D107" s="16">
        <v>2</v>
      </c>
      <c r="E107" s="16">
        <v>1</v>
      </c>
      <c r="F107" s="16">
        <v>3</v>
      </c>
      <c r="G107" s="16">
        <v>0</v>
      </c>
      <c r="H107" s="16">
        <v>0</v>
      </c>
      <c r="I107" s="16">
        <v>3</v>
      </c>
      <c r="J107" s="16">
        <v>0</v>
      </c>
      <c r="K107" s="16">
        <v>0</v>
      </c>
      <c r="L107" s="16">
        <v>0</v>
      </c>
      <c r="M107" s="16">
        <v>0</v>
      </c>
    </row>
    <row r="108" spans="1:15" x14ac:dyDescent="0.35">
      <c r="A108" s="16" t="s">
        <v>8</v>
      </c>
      <c r="B108" s="16" t="s">
        <v>11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</row>
    <row r="109" spans="1:15" x14ac:dyDescent="0.35">
      <c r="B109" s="16" t="s">
        <v>72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</row>
    <row r="110" spans="1:15" x14ac:dyDescent="0.35">
      <c r="B110" s="16" t="s">
        <v>18</v>
      </c>
      <c r="D110" s="16">
        <v>2</v>
      </c>
      <c r="E110" s="16">
        <v>0</v>
      </c>
      <c r="F110" s="16">
        <v>2</v>
      </c>
      <c r="G110" s="16">
        <v>0</v>
      </c>
      <c r="H110" s="16">
        <v>0</v>
      </c>
      <c r="I110" s="16">
        <v>2</v>
      </c>
      <c r="J110" s="16">
        <v>0</v>
      </c>
      <c r="K110" s="16">
        <v>0</v>
      </c>
      <c r="L110" s="16">
        <v>0</v>
      </c>
      <c r="M110" s="16">
        <v>0</v>
      </c>
    </row>
    <row r="111" spans="1:15" x14ac:dyDescent="0.35">
      <c r="B111" s="16" t="s">
        <v>13</v>
      </c>
      <c r="D111" s="16">
        <v>4</v>
      </c>
      <c r="E111" s="16">
        <v>11</v>
      </c>
      <c r="F111" s="16">
        <v>13</v>
      </c>
      <c r="G111" s="16">
        <v>2</v>
      </c>
      <c r="H111" s="16">
        <v>0</v>
      </c>
      <c r="I111" s="16">
        <v>15</v>
      </c>
      <c r="J111" s="16">
        <v>0</v>
      </c>
      <c r="K111" s="16">
        <v>0</v>
      </c>
      <c r="L111" s="16">
        <v>0</v>
      </c>
      <c r="M111" s="16">
        <v>0</v>
      </c>
    </row>
    <row r="112" spans="1:15" x14ac:dyDescent="0.35">
      <c r="B112" s="16" t="s">
        <v>74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</row>
    <row r="113" spans="1:15" x14ac:dyDescent="0.35">
      <c r="A113" s="16" t="s">
        <v>9</v>
      </c>
      <c r="B113" s="16" t="s">
        <v>11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</row>
    <row r="114" spans="1:15" x14ac:dyDescent="0.35">
      <c r="B114" s="16" t="s">
        <v>72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</row>
    <row r="115" spans="1:15" x14ac:dyDescent="0.35">
      <c r="B115" s="16" t="s">
        <v>18</v>
      </c>
      <c r="D115" s="16">
        <v>1</v>
      </c>
      <c r="E115" s="16">
        <v>0</v>
      </c>
      <c r="F115" s="16">
        <v>1</v>
      </c>
      <c r="G115" s="16">
        <v>0</v>
      </c>
      <c r="H115" s="16">
        <v>0</v>
      </c>
      <c r="I115" s="16">
        <v>1</v>
      </c>
      <c r="J115" s="16">
        <v>0</v>
      </c>
      <c r="K115" s="16">
        <v>0</v>
      </c>
      <c r="L115" s="16">
        <v>0</v>
      </c>
      <c r="M115" s="16">
        <v>0</v>
      </c>
    </row>
    <row r="116" spans="1:15" x14ac:dyDescent="0.35">
      <c r="B116" s="16" t="s">
        <v>13</v>
      </c>
      <c r="D116" s="16">
        <v>1</v>
      </c>
      <c r="E116" s="16">
        <v>1</v>
      </c>
      <c r="F116" s="16">
        <v>2</v>
      </c>
      <c r="G116" s="16">
        <v>0</v>
      </c>
      <c r="H116" s="16">
        <v>0</v>
      </c>
      <c r="I116" s="16">
        <v>2</v>
      </c>
      <c r="J116" s="16">
        <v>0</v>
      </c>
      <c r="K116" s="16">
        <v>0</v>
      </c>
      <c r="L116" s="16">
        <v>0</v>
      </c>
      <c r="M116" s="16">
        <v>0</v>
      </c>
    </row>
    <row r="117" spans="1:15" x14ac:dyDescent="0.35">
      <c r="B117" s="16" t="s">
        <v>74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</row>
    <row r="119" spans="1:15" x14ac:dyDescent="0.35">
      <c r="A119" s="18" t="s">
        <v>90</v>
      </c>
      <c r="B119" s="20">
        <v>44646</v>
      </c>
      <c r="C119" s="16" t="s">
        <v>62</v>
      </c>
      <c r="D119" s="16" t="s">
        <v>3</v>
      </c>
      <c r="E119" s="16" t="s">
        <v>4</v>
      </c>
      <c r="F119" s="16" t="s">
        <v>10</v>
      </c>
      <c r="G119" s="16" t="s">
        <v>17</v>
      </c>
      <c r="H119" s="16" t="s">
        <v>19</v>
      </c>
      <c r="I119" s="16" t="s">
        <v>20</v>
      </c>
      <c r="J119" s="16" t="s">
        <v>21</v>
      </c>
      <c r="K119" s="16" t="s">
        <v>22</v>
      </c>
      <c r="L119" s="16" t="s">
        <v>23</v>
      </c>
      <c r="M119" s="16" t="s">
        <v>24</v>
      </c>
      <c r="N119" s="16" t="s">
        <v>15</v>
      </c>
    </row>
    <row r="120" spans="1:15" x14ac:dyDescent="0.35">
      <c r="A120" s="16" t="s">
        <v>5</v>
      </c>
      <c r="D120" s="16">
        <v>0</v>
      </c>
      <c r="E120" s="16">
        <v>0</v>
      </c>
      <c r="N120" s="16">
        <v>10</v>
      </c>
      <c r="O120" s="16" t="s">
        <v>43</v>
      </c>
    </row>
    <row r="121" spans="1:15" x14ac:dyDescent="0.35">
      <c r="A121" s="16" t="s">
        <v>6</v>
      </c>
      <c r="B121" s="16" t="s">
        <v>11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2</v>
      </c>
      <c r="O121" s="16" t="s">
        <v>44</v>
      </c>
    </row>
    <row r="122" spans="1:15" x14ac:dyDescent="0.35">
      <c r="B122" s="16" t="s">
        <v>72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4</v>
      </c>
      <c r="O122" s="16" t="s">
        <v>45</v>
      </c>
    </row>
    <row r="123" spans="1:15" x14ac:dyDescent="0.35">
      <c r="B123" s="16" t="s">
        <v>18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2.5</v>
      </c>
      <c r="O123" s="16" t="s">
        <v>46</v>
      </c>
    </row>
    <row r="124" spans="1:15" x14ac:dyDescent="0.35">
      <c r="B124" s="16" t="s">
        <v>13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</row>
    <row r="125" spans="1:15" x14ac:dyDescent="0.35">
      <c r="A125" s="16" t="s">
        <v>7</v>
      </c>
      <c r="B125" s="16" t="s">
        <v>11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</row>
    <row r="126" spans="1:15" x14ac:dyDescent="0.35">
      <c r="B126" s="16" t="s">
        <v>72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pans="1:15" x14ac:dyDescent="0.35">
      <c r="B127" s="16" t="s">
        <v>18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</row>
    <row r="128" spans="1:15" x14ac:dyDescent="0.35">
      <c r="B128" s="16" t="s">
        <v>13</v>
      </c>
      <c r="D128" s="16">
        <v>0</v>
      </c>
      <c r="E128" s="16">
        <v>4</v>
      </c>
      <c r="F128" s="16">
        <v>2</v>
      </c>
      <c r="G128" s="16">
        <v>2</v>
      </c>
      <c r="H128" s="16">
        <v>0</v>
      </c>
      <c r="I128" s="16">
        <v>4</v>
      </c>
      <c r="J128" s="16">
        <v>0</v>
      </c>
      <c r="K128" s="16">
        <v>0</v>
      </c>
      <c r="L128" s="16">
        <v>0</v>
      </c>
      <c r="M128" s="16">
        <v>0</v>
      </c>
    </row>
    <row r="129" spans="1:15" x14ac:dyDescent="0.35">
      <c r="A129" s="16" t="s">
        <v>8</v>
      </c>
      <c r="B129" s="16" t="s">
        <v>11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</row>
    <row r="130" spans="1:15" x14ac:dyDescent="0.35">
      <c r="B130" s="16" t="s">
        <v>72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</row>
    <row r="131" spans="1:15" x14ac:dyDescent="0.35">
      <c r="B131" s="16" t="s">
        <v>18</v>
      </c>
      <c r="D131" s="16">
        <v>4</v>
      </c>
      <c r="E131" s="16">
        <v>4</v>
      </c>
      <c r="F131" s="16">
        <v>8</v>
      </c>
      <c r="G131" s="16">
        <v>0</v>
      </c>
      <c r="H131" s="16">
        <v>0</v>
      </c>
      <c r="I131" s="16">
        <v>8</v>
      </c>
      <c r="J131" s="16">
        <v>0</v>
      </c>
      <c r="K131" s="16">
        <v>0</v>
      </c>
      <c r="L131" s="16">
        <v>0</v>
      </c>
      <c r="M131" s="16">
        <v>0</v>
      </c>
    </row>
    <row r="132" spans="1:15" x14ac:dyDescent="0.35">
      <c r="B132" s="16" t="s">
        <v>13</v>
      </c>
      <c r="D132" s="16">
        <v>0</v>
      </c>
      <c r="E132" s="16">
        <v>3</v>
      </c>
      <c r="F132" s="16">
        <v>2</v>
      </c>
      <c r="G132" s="16">
        <v>1</v>
      </c>
      <c r="H132" s="16">
        <v>0</v>
      </c>
      <c r="I132" s="16">
        <v>3</v>
      </c>
      <c r="J132" s="16">
        <v>0</v>
      </c>
      <c r="K132" s="16">
        <v>0</v>
      </c>
      <c r="L132" s="16">
        <v>0</v>
      </c>
      <c r="M132" s="16">
        <v>0</v>
      </c>
    </row>
    <row r="133" spans="1:15" x14ac:dyDescent="0.35">
      <c r="B133" s="16" t="s">
        <v>74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</row>
    <row r="134" spans="1:15" x14ac:dyDescent="0.35">
      <c r="A134" s="16" t="s">
        <v>9</v>
      </c>
      <c r="B134" s="16" t="s">
        <v>11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</row>
    <row r="135" spans="1:15" x14ac:dyDescent="0.35">
      <c r="B135" s="16" t="s">
        <v>72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</row>
    <row r="136" spans="1:15" x14ac:dyDescent="0.35">
      <c r="B136" s="16" t="s">
        <v>18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</row>
    <row r="137" spans="1:15" x14ac:dyDescent="0.35">
      <c r="B137" s="16" t="s">
        <v>13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</row>
    <row r="138" spans="1:15" x14ac:dyDescent="0.35">
      <c r="B138" s="16" t="s">
        <v>74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</row>
    <row r="140" spans="1:15" x14ac:dyDescent="0.35">
      <c r="A140" s="18" t="s">
        <v>79</v>
      </c>
      <c r="B140" s="20">
        <v>44647</v>
      </c>
      <c r="C140" s="16" t="s">
        <v>42</v>
      </c>
      <c r="D140" s="16" t="s">
        <v>3</v>
      </c>
      <c r="E140" s="16" t="s">
        <v>4</v>
      </c>
      <c r="F140" s="16" t="s">
        <v>10</v>
      </c>
      <c r="G140" s="16" t="s">
        <v>17</v>
      </c>
      <c r="H140" s="16" t="s">
        <v>19</v>
      </c>
      <c r="I140" s="16" t="s">
        <v>20</v>
      </c>
      <c r="J140" s="16" t="s">
        <v>21</v>
      </c>
      <c r="K140" s="16" t="s">
        <v>22</v>
      </c>
      <c r="L140" s="16" t="s">
        <v>23</v>
      </c>
      <c r="M140" s="16" t="s">
        <v>24</v>
      </c>
      <c r="N140" s="16" t="s">
        <v>15</v>
      </c>
    </row>
    <row r="141" spans="1:15" x14ac:dyDescent="0.35">
      <c r="A141" s="16" t="s">
        <v>5</v>
      </c>
      <c r="D141" s="16">
        <v>1</v>
      </c>
      <c r="E141" s="16">
        <v>0</v>
      </c>
      <c r="N141" s="16">
        <v>6</v>
      </c>
      <c r="O141" s="16" t="s">
        <v>43</v>
      </c>
    </row>
    <row r="142" spans="1:15" x14ac:dyDescent="0.35">
      <c r="A142" s="16" t="s">
        <v>6</v>
      </c>
      <c r="B142" s="16" t="s">
        <v>11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2</v>
      </c>
      <c r="O142" s="16" t="s">
        <v>44</v>
      </c>
    </row>
    <row r="143" spans="1:15" x14ac:dyDescent="0.35">
      <c r="B143" s="16" t="s">
        <v>72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2</v>
      </c>
      <c r="O143" s="16" t="s">
        <v>45</v>
      </c>
    </row>
    <row r="144" spans="1:15" x14ac:dyDescent="0.35">
      <c r="B144" s="16" t="s">
        <v>18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2</v>
      </c>
      <c r="O144" s="16" t="s">
        <v>46</v>
      </c>
    </row>
    <row r="145" spans="1:13" x14ac:dyDescent="0.35">
      <c r="B145" s="16" t="s">
        <v>13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</row>
    <row r="146" spans="1:13" x14ac:dyDescent="0.35">
      <c r="A146" s="16" t="s">
        <v>7</v>
      </c>
      <c r="B146" s="16" t="s">
        <v>11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</row>
    <row r="147" spans="1:13" x14ac:dyDescent="0.35">
      <c r="B147" s="16" t="s">
        <v>72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</row>
    <row r="148" spans="1:13" x14ac:dyDescent="0.35">
      <c r="B148" s="16" t="s">
        <v>18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</row>
    <row r="149" spans="1:13" x14ac:dyDescent="0.35">
      <c r="B149" s="16" t="s">
        <v>13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</row>
    <row r="150" spans="1:13" x14ac:dyDescent="0.35">
      <c r="A150" s="16" t="s">
        <v>8</v>
      </c>
      <c r="B150" s="16" t="s">
        <v>11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</row>
    <row r="151" spans="1:13" x14ac:dyDescent="0.35">
      <c r="B151" s="16" t="s">
        <v>72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</row>
    <row r="152" spans="1:13" x14ac:dyDescent="0.35">
      <c r="B152" s="16" t="s">
        <v>18</v>
      </c>
      <c r="D152" s="16">
        <v>2</v>
      </c>
      <c r="E152" s="16">
        <v>6</v>
      </c>
      <c r="F152" s="16">
        <v>8</v>
      </c>
      <c r="G152" s="16">
        <v>0</v>
      </c>
      <c r="H152" s="16">
        <v>0</v>
      </c>
      <c r="I152" s="16">
        <v>8</v>
      </c>
      <c r="J152" s="16">
        <v>0</v>
      </c>
      <c r="K152" s="16">
        <v>0</v>
      </c>
      <c r="L152" s="16">
        <v>0</v>
      </c>
      <c r="M152" s="16">
        <v>0</v>
      </c>
    </row>
    <row r="153" spans="1:13" x14ac:dyDescent="0.35">
      <c r="B153" s="16" t="s">
        <v>13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</row>
    <row r="154" spans="1:13" x14ac:dyDescent="0.35">
      <c r="B154" s="16" t="s">
        <v>74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</row>
    <row r="155" spans="1:13" x14ac:dyDescent="0.35">
      <c r="A155" s="16" t="s">
        <v>9</v>
      </c>
      <c r="B155" s="16" t="s">
        <v>11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</row>
    <row r="156" spans="1:13" x14ac:dyDescent="0.35">
      <c r="B156" s="16" t="s">
        <v>72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</row>
    <row r="157" spans="1:13" x14ac:dyDescent="0.35">
      <c r="B157" s="16" t="s">
        <v>18</v>
      </c>
      <c r="D157" s="16">
        <v>1</v>
      </c>
      <c r="E157" s="16">
        <v>1</v>
      </c>
      <c r="F157" s="16">
        <v>2</v>
      </c>
      <c r="G157" s="16">
        <v>0</v>
      </c>
      <c r="H157" s="16">
        <v>0</v>
      </c>
      <c r="I157" s="16">
        <v>2</v>
      </c>
      <c r="J157" s="16">
        <v>0</v>
      </c>
      <c r="K157" s="16">
        <v>0</v>
      </c>
      <c r="L157" s="16">
        <v>0</v>
      </c>
      <c r="M157" s="16">
        <v>0</v>
      </c>
    </row>
    <row r="158" spans="1:13" x14ac:dyDescent="0.35">
      <c r="B158" s="16" t="s">
        <v>13</v>
      </c>
      <c r="D158" s="16">
        <v>0</v>
      </c>
      <c r="E158" s="16">
        <v>1</v>
      </c>
      <c r="F158" s="16">
        <v>1</v>
      </c>
      <c r="G158" s="16">
        <v>0</v>
      </c>
      <c r="H158" s="16">
        <v>0</v>
      </c>
      <c r="I158" s="16">
        <v>1</v>
      </c>
      <c r="J158" s="16">
        <v>0</v>
      </c>
      <c r="K158" s="16">
        <v>0</v>
      </c>
      <c r="L158" s="16">
        <v>0</v>
      </c>
      <c r="M158" s="16">
        <v>0</v>
      </c>
    </row>
    <row r="159" spans="1:13" x14ac:dyDescent="0.35">
      <c r="B159" s="16" t="s">
        <v>74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</row>
    <row r="161" spans="1:16" x14ac:dyDescent="0.35">
      <c r="A161" s="18" t="s">
        <v>79</v>
      </c>
      <c r="B161" s="20">
        <v>44647</v>
      </c>
      <c r="C161" s="16" t="s">
        <v>81</v>
      </c>
      <c r="D161" s="16" t="s">
        <v>3</v>
      </c>
      <c r="E161" s="16" t="s">
        <v>4</v>
      </c>
      <c r="F161" s="16" t="s">
        <v>10</v>
      </c>
      <c r="G161" s="16" t="s">
        <v>17</v>
      </c>
      <c r="H161" s="16" t="s">
        <v>19</v>
      </c>
      <c r="I161" s="16" t="s">
        <v>20</v>
      </c>
      <c r="J161" s="16" t="s">
        <v>21</v>
      </c>
      <c r="K161" s="16" t="s">
        <v>22</v>
      </c>
      <c r="L161" s="16" t="s">
        <v>23</v>
      </c>
      <c r="M161" s="16" t="s">
        <v>24</v>
      </c>
      <c r="N161" s="16" t="s">
        <v>15</v>
      </c>
    </row>
    <row r="162" spans="1:16" x14ac:dyDescent="0.35">
      <c r="A162" s="16" t="s">
        <v>5</v>
      </c>
      <c r="D162" s="16">
        <v>0</v>
      </c>
      <c r="E162" s="16">
        <v>0</v>
      </c>
      <c r="N162" s="16">
        <v>11</v>
      </c>
      <c r="O162" s="16" t="s">
        <v>43</v>
      </c>
    </row>
    <row r="163" spans="1:16" x14ac:dyDescent="0.35">
      <c r="A163" s="16" t="s">
        <v>6</v>
      </c>
      <c r="B163" s="16" t="s">
        <v>11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2</v>
      </c>
      <c r="O163" s="16" t="s">
        <v>44</v>
      </c>
    </row>
    <row r="164" spans="1:16" x14ac:dyDescent="0.35">
      <c r="B164" s="16" t="s">
        <v>72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4</v>
      </c>
      <c r="O164" s="16" t="s">
        <v>45</v>
      </c>
    </row>
    <row r="165" spans="1:16" x14ac:dyDescent="0.35">
      <c r="B165" s="16" t="s">
        <v>18</v>
      </c>
      <c r="D165" s="16">
        <v>1</v>
      </c>
      <c r="E165" s="16">
        <v>0</v>
      </c>
      <c r="F165" s="16">
        <v>1</v>
      </c>
      <c r="G165" s="16">
        <v>0</v>
      </c>
      <c r="H165" s="16">
        <v>0</v>
      </c>
      <c r="I165" s="16">
        <v>1</v>
      </c>
      <c r="J165" s="16">
        <v>0</v>
      </c>
      <c r="K165" s="16">
        <v>0</v>
      </c>
      <c r="L165" s="16">
        <v>0</v>
      </c>
      <c r="M165" s="16">
        <v>0</v>
      </c>
      <c r="N165" s="16">
        <v>2.75</v>
      </c>
      <c r="O165" s="16" t="s">
        <v>46</v>
      </c>
    </row>
    <row r="166" spans="1:16" x14ac:dyDescent="0.35">
      <c r="B166" s="16" t="s">
        <v>13</v>
      </c>
      <c r="D166" s="16">
        <v>1</v>
      </c>
      <c r="E166" s="16">
        <v>0</v>
      </c>
      <c r="F166" s="16">
        <v>1</v>
      </c>
      <c r="G166" s="16">
        <v>0</v>
      </c>
      <c r="H166" s="16">
        <v>0</v>
      </c>
      <c r="I166" s="16">
        <v>1</v>
      </c>
      <c r="J166" s="16">
        <v>0</v>
      </c>
      <c r="K166" s="16">
        <v>0</v>
      </c>
      <c r="L166" s="16">
        <v>0</v>
      </c>
      <c r="M166" s="16">
        <v>0</v>
      </c>
    </row>
    <row r="167" spans="1:16" x14ac:dyDescent="0.35">
      <c r="A167" s="16" t="s">
        <v>7</v>
      </c>
      <c r="B167" s="16" t="s">
        <v>11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O167" s="21"/>
      <c r="P167" s="21"/>
    </row>
    <row r="168" spans="1:16" x14ac:dyDescent="0.35">
      <c r="B168" s="16" t="s">
        <v>72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O168" s="21"/>
      <c r="P168" s="21"/>
    </row>
    <row r="169" spans="1:16" x14ac:dyDescent="0.35">
      <c r="B169" s="16" t="s">
        <v>18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</row>
    <row r="170" spans="1:16" x14ac:dyDescent="0.35">
      <c r="B170" s="16" t="s">
        <v>13</v>
      </c>
      <c r="D170" s="16">
        <v>0</v>
      </c>
      <c r="E170" s="16">
        <v>1</v>
      </c>
      <c r="F170" s="16">
        <v>1</v>
      </c>
      <c r="G170" s="16">
        <v>0</v>
      </c>
      <c r="H170" s="16">
        <v>0</v>
      </c>
      <c r="I170" s="16">
        <v>0</v>
      </c>
      <c r="J170" s="16">
        <v>1</v>
      </c>
      <c r="K170" s="16">
        <v>0</v>
      </c>
      <c r="L170" s="16">
        <v>0</v>
      </c>
      <c r="M170" s="16">
        <v>0</v>
      </c>
    </row>
    <row r="171" spans="1:16" x14ac:dyDescent="0.35">
      <c r="A171" s="16" t="s">
        <v>8</v>
      </c>
      <c r="B171" s="16" t="s">
        <v>11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</row>
    <row r="172" spans="1:16" x14ac:dyDescent="0.35">
      <c r="B172" s="16" t="s">
        <v>72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</row>
    <row r="173" spans="1:16" x14ac:dyDescent="0.35">
      <c r="B173" s="16" t="s">
        <v>18</v>
      </c>
      <c r="D173" s="16">
        <v>1</v>
      </c>
      <c r="E173" s="16">
        <v>2</v>
      </c>
      <c r="F173" s="16">
        <v>3</v>
      </c>
      <c r="G173" s="16">
        <v>0</v>
      </c>
      <c r="H173" s="16">
        <v>0</v>
      </c>
      <c r="I173" s="16">
        <v>3</v>
      </c>
      <c r="J173" s="16">
        <v>0</v>
      </c>
      <c r="K173" s="16">
        <v>0</v>
      </c>
      <c r="L173" s="16">
        <v>0</v>
      </c>
      <c r="M173" s="16">
        <v>0</v>
      </c>
    </row>
    <row r="174" spans="1:16" x14ac:dyDescent="0.35">
      <c r="B174" s="16" t="s">
        <v>13</v>
      </c>
      <c r="D174" s="16">
        <v>6</v>
      </c>
      <c r="E174" s="16">
        <v>1</v>
      </c>
      <c r="F174" s="16">
        <v>7</v>
      </c>
      <c r="G174" s="16">
        <v>0</v>
      </c>
      <c r="H174" s="16">
        <v>0</v>
      </c>
      <c r="I174" s="16">
        <v>6</v>
      </c>
      <c r="J174" s="16">
        <v>1</v>
      </c>
      <c r="K174" s="16">
        <v>0</v>
      </c>
      <c r="L174" s="16">
        <v>0</v>
      </c>
      <c r="M174" s="16">
        <v>0</v>
      </c>
    </row>
    <row r="175" spans="1:16" x14ac:dyDescent="0.35">
      <c r="B175" s="16" t="s">
        <v>74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</row>
    <row r="176" spans="1:16" x14ac:dyDescent="0.35">
      <c r="A176" s="16" t="s">
        <v>9</v>
      </c>
      <c r="B176" s="16" t="s">
        <v>11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</row>
    <row r="177" spans="1:15" x14ac:dyDescent="0.35">
      <c r="B177" s="16" t="s">
        <v>69</v>
      </c>
      <c r="D177" s="16">
        <v>1</v>
      </c>
      <c r="E177" s="16">
        <v>0</v>
      </c>
      <c r="F177" s="16">
        <v>1</v>
      </c>
      <c r="G177" s="16">
        <v>0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</row>
    <row r="178" spans="1:15" x14ac:dyDescent="0.35">
      <c r="B178" s="16" t="s">
        <v>18</v>
      </c>
      <c r="D178" s="16">
        <v>3</v>
      </c>
      <c r="E178" s="16">
        <v>0</v>
      </c>
      <c r="F178" s="16">
        <v>3</v>
      </c>
      <c r="G178" s="16">
        <v>0</v>
      </c>
      <c r="H178" s="16">
        <v>0</v>
      </c>
      <c r="I178" s="16">
        <v>3</v>
      </c>
      <c r="J178" s="16">
        <v>0</v>
      </c>
      <c r="K178" s="16">
        <v>0</v>
      </c>
      <c r="L178" s="16">
        <v>0</v>
      </c>
      <c r="M178" s="16">
        <v>0</v>
      </c>
    </row>
    <row r="179" spans="1:15" x14ac:dyDescent="0.35">
      <c r="B179" s="16" t="s">
        <v>13</v>
      </c>
      <c r="D179" s="16">
        <v>0</v>
      </c>
      <c r="E179" s="16">
        <v>1</v>
      </c>
      <c r="F179" s="16">
        <v>1</v>
      </c>
      <c r="G179" s="16">
        <v>0</v>
      </c>
      <c r="H179" s="16">
        <v>0</v>
      </c>
      <c r="I179" s="16">
        <v>1</v>
      </c>
      <c r="J179" s="16">
        <v>0</v>
      </c>
      <c r="K179" s="16">
        <v>0</v>
      </c>
      <c r="L179" s="16">
        <v>0</v>
      </c>
      <c r="M179" s="16">
        <v>0</v>
      </c>
    </row>
    <row r="180" spans="1:15" x14ac:dyDescent="0.35">
      <c r="B180" s="16" t="s">
        <v>74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</row>
    <row r="182" spans="1:15" x14ac:dyDescent="0.35">
      <c r="A182" s="18" t="s">
        <v>79</v>
      </c>
      <c r="B182" s="20">
        <v>44647</v>
      </c>
      <c r="C182" s="16" t="s">
        <v>82</v>
      </c>
      <c r="D182" s="16" t="s">
        <v>3</v>
      </c>
      <c r="E182" s="16" t="s">
        <v>4</v>
      </c>
      <c r="F182" s="16" t="s">
        <v>10</v>
      </c>
      <c r="G182" s="16" t="s">
        <v>17</v>
      </c>
      <c r="H182" s="16" t="s">
        <v>19</v>
      </c>
      <c r="I182" s="16" t="s">
        <v>20</v>
      </c>
      <c r="J182" s="16" t="s">
        <v>21</v>
      </c>
      <c r="K182" s="16" t="s">
        <v>22</v>
      </c>
      <c r="L182" s="16" t="s">
        <v>23</v>
      </c>
      <c r="M182" s="16" t="s">
        <v>24</v>
      </c>
      <c r="N182" s="16" t="s">
        <v>15</v>
      </c>
    </row>
    <row r="183" spans="1:15" x14ac:dyDescent="0.35">
      <c r="A183" s="16" t="s">
        <v>5</v>
      </c>
      <c r="D183" s="16">
        <v>0</v>
      </c>
      <c r="E183" s="16">
        <v>1</v>
      </c>
      <c r="N183" s="16">
        <v>23</v>
      </c>
      <c r="O183" s="16" t="s">
        <v>43</v>
      </c>
    </row>
    <row r="184" spans="1:15" x14ac:dyDescent="0.35">
      <c r="A184" s="16" t="s">
        <v>6</v>
      </c>
      <c r="B184" s="16" t="s">
        <v>11</v>
      </c>
      <c r="D184" s="16">
        <v>0</v>
      </c>
      <c r="E184" s="16">
        <v>1</v>
      </c>
      <c r="F184" s="16">
        <v>1</v>
      </c>
      <c r="G184" s="16">
        <v>0</v>
      </c>
      <c r="H184" s="16">
        <v>0</v>
      </c>
      <c r="I184" s="16">
        <v>0</v>
      </c>
      <c r="J184" s="16">
        <v>1</v>
      </c>
      <c r="K184" s="16">
        <v>0</v>
      </c>
      <c r="L184" s="16">
        <v>0</v>
      </c>
      <c r="M184" s="16">
        <v>0</v>
      </c>
      <c r="N184" s="16">
        <v>2</v>
      </c>
      <c r="O184" s="16" t="s">
        <v>44</v>
      </c>
    </row>
    <row r="185" spans="1:15" x14ac:dyDescent="0.35">
      <c r="B185" s="16" t="s">
        <v>72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5</v>
      </c>
      <c r="O185" s="16" t="s">
        <v>45</v>
      </c>
    </row>
    <row r="186" spans="1:15" x14ac:dyDescent="0.35">
      <c r="B186" s="16" t="s">
        <v>18</v>
      </c>
      <c r="D186" s="16">
        <v>1</v>
      </c>
      <c r="E186" s="16">
        <v>2</v>
      </c>
      <c r="F186" s="16">
        <v>3</v>
      </c>
      <c r="G186" s="16">
        <v>0</v>
      </c>
      <c r="H186" s="16">
        <v>0</v>
      </c>
      <c r="I186" s="16">
        <v>3</v>
      </c>
      <c r="J186" s="16">
        <v>0</v>
      </c>
      <c r="K186" s="16">
        <v>0</v>
      </c>
      <c r="L186" s="16">
        <v>0</v>
      </c>
      <c r="M186" s="16">
        <v>0</v>
      </c>
      <c r="N186" s="16">
        <v>2.875</v>
      </c>
      <c r="O186" s="16" t="s">
        <v>46</v>
      </c>
    </row>
    <row r="187" spans="1:15" x14ac:dyDescent="0.35">
      <c r="B187" s="16" t="s">
        <v>13</v>
      </c>
      <c r="D187" s="16">
        <v>1</v>
      </c>
      <c r="E187" s="16">
        <v>2</v>
      </c>
      <c r="F187" s="16">
        <v>3</v>
      </c>
      <c r="G187" s="16">
        <v>0</v>
      </c>
      <c r="H187" s="16">
        <v>0</v>
      </c>
      <c r="I187" s="16">
        <v>3</v>
      </c>
      <c r="J187" s="16">
        <v>0</v>
      </c>
      <c r="K187" s="16">
        <v>0</v>
      </c>
      <c r="L187" s="16">
        <v>0</v>
      </c>
      <c r="M187" s="16">
        <v>0</v>
      </c>
    </row>
    <row r="188" spans="1:15" x14ac:dyDescent="0.35">
      <c r="A188" s="16" t="s">
        <v>7</v>
      </c>
      <c r="B188" s="16" t="s">
        <v>11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</row>
    <row r="189" spans="1:15" x14ac:dyDescent="0.35">
      <c r="B189" s="16" t="s">
        <v>72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</row>
    <row r="190" spans="1:15" x14ac:dyDescent="0.35">
      <c r="B190" s="16" t="s">
        <v>18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</row>
    <row r="191" spans="1:15" x14ac:dyDescent="0.35">
      <c r="B191" s="16" t="s">
        <v>13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</row>
    <row r="192" spans="1:15" x14ac:dyDescent="0.35">
      <c r="A192" s="16" t="s">
        <v>8</v>
      </c>
      <c r="B192" s="16" t="s">
        <v>11</v>
      </c>
      <c r="D192" s="16">
        <v>1</v>
      </c>
      <c r="E192" s="16">
        <v>1</v>
      </c>
      <c r="F192" s="16">
        <v>2</v>
      </c>
      <c r="G192" s="16">
        <v>0</v>
      </c>
      <c r="H192" s="16">
        <v>0</v>
      </c>
      <c r="I192" s="16">
        <v>0</v>
      </c>
      <c r="J192" s="16">
        <v>2</v>
      </c>
      <c r="K192" s="16">
        <v>0</v>
      </c>
      <c r="L192" s="16">
        <v>0</v>
      </c>
      <c r="M192" s="16">
        <v>0</v>
      </c>
    </row>
    <row r="193" spans="1:15" x14ac:dyDescent="0.35">
      <c r="B193" s="16" t="s">
        <v>72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</row>
    <row r="194" spans="1:15" x14ac:dyDescent="0.35">
      <c r="B194" s="16" t="s">
        <v>18</v>
      </c>
      <c r="D194" s="16">
        <v>6</v>
      </c>
      <c r="E194" s="16">
        <v>1</v>
      </c>
      <c r="F194" s="16">
        <v>7</v>
      </c>
      <c r="G194" s="16">
        <v>0</v>
      </c>
      <c r="H194" s="16">
        <v>0</v>
      </c>
      <c r="I194" s="16">
        <v>7</v>
      </c>
      <c r="J194" s="16">
        <v>0</v>
      </c>
      <c r="K194" s="16">
        <v>0</v>
      </c>
      <c r="L194" s="16">
        <v>0</v>
      </c>
      <c r="M194" s="16">
        <v>0</v>
      </c>
    </row>
    <row r="195" spans="1:15" x14ac:dyDescent="0.35">
      <c r="B195" s="16" t="s">
        <v>13</v>
      </c>
      <c r="D195" s="16">
        <v>4</v>
      </c>
      <c r="E195" s="16">
        <v>1</v>
      </c>
      <c r="F195" s="16">
        <v>5</v>
      </c>
      <c r="G195" s="16">
        <v>0</v>
      </c>
      <c r="H195" s="16">
        <v>0</v>
      </c>
      <c r="I195" s="16">
        <v>5</v>
      </c>
      <c r="J195" s="16">
        <v>0</v>
      </c>
      <c r="K195" s="16">
        <v>0</v>
      </c>
      <c r="L195" s="16">
        <v>0</v>
      </c>
      <c r="M195" s="16">
        <v>0</v>
      </c>
    </row>
    <row r="196" spans="1:15" x14ac:dyDescent="0.35">
      <c r="B196" s="16" t="s">
        <v>74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</row>
    <row r="197" spans="1:15" x14ac:dyDescent="0.35">
      <c r="A197" s="16" t="s">
        <v>9</v>
      </c>
      <c r="B197" s="16" t="s">
        <v>11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</row>
    <row r="198" spans="1:15" x14ac:dyDescent="0.35">
      <c r="B198" s="16" t="s">
        <v>72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</row>
    <row r="199" spans="1:15" x14ac:dyDescent="0.35">
      <c r="B199" s="16" t="s">
        <v>18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</row>
    <row r="200" spans="1:15" x14ac:dyDescent="0.35">
      <c r="B200" s="16" t="s">
        <v>13</v>
      </c>
      <c r="D200" s="16">
        <v>2</v>
      </c>
      <c r="E200" s="16">
        <v>2</v>
      </c>
      <c r="F200" s="16">
        <v>4</v>
      </c>
      <c r="G200" s="16">
        <v>0</v>
      </c>
      <c r="H200" s="16">
        <v>0</v>
      </c>
      <c r="I200" s="16">
        <v>4</v>
      </c>
      <c r="J200" s="16">
        <v>0</v>
      </c>
      <c r="K200" s="16">
        <v>0</v>
      </c>
      <c r="L200" s="16">
        <v>0</v>
      </c>
      <c r="M200" s="16">
        <v>0</v>
      </c>
    </row>
    <row r="201" spans="1:15" x14ac:dyDescent="0.35">
      <c r="B201" s="16" t="s">
        <v>74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</row>
    <row r="203" spans="1:15" x14ac:dyDescent="0.35">
      <c r="A203" s="18" t="s">
        <v>79</v>
      </c>
      <c r="B203" s="20">
        <v>44647</v>
      </c>
      <c r="C203" s="16" t="s">
        <v>62</v>
      </c>
      <c r="D203" s="16" t="s">
        <v>3</v>
      </c>
      <c r="E203" s="16" t="s">
        <v>4</v>
      </c>
      <c r="F203" s="16" t="s">
        <v>10</v>
      </c>
      <c r="G203" s="16" t="s">
        <v>17</v>
      </c>
      <c r="H203" s="16" t="s">
        <v>19</v>
      </c>
      <c r="I203" s="16" t="s">
        <v>20</v>
      </c>
      <c r="J203" s="16" t="s">
        <v>21</v>
      </c>
      <c r="K203" s="16" t="s">
        <v>22</v>
      </c>
      <c r="L203" s="16" t="s">
        <v>23</v>
      </c>
      <c r="M203" s="16" t="s">
        <v>24</v>
      </c>
      <c r="N203" s="16" t="s">
        <v>15</v>
      </c>
    </row>
    <row r="204" spans="1:15" x14ac:dyDescent="0.35">
      <c r="A204" s="16" t="s">
        <v>5</v>
      </c>
      <c r="D204" s="16">
        <v>0</v>
      </c>
      <c r="E204" s="16">
        <v>1</v>
      </c>
      <c r="N204" s="16">
        <v>7</v>
      </c>
      <c r="O204" s="16" t="s">
        <v>43</v>
      </c>
    </row>
    <row r="205" spans="1:15" x14ac:dyDescent="0.35">
      <c r="A205" s="16" t="s">
        <v>6</v>
      </c>
      <c r="B205" s="16" t="s">
        <v>11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2</v>
      </c>
      <c r="O205" s="16" t="s">
        <v>44</v>
      </c>
    </row>
    <row r="206" spans="1:15" x14ac:dyDescent="0.35">
      <c r="B206" s="16" t="s">
        <v>72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3</v>
      </c>
      <c r="O206" s="16" t="s">
        <v>45</v>
      </c>
    </row>
    <row r="207" spans="1:15" x14ac:dyDescent="0.35">
      <c r="B207" s="16" t="s">
        <v>18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2.3333333333333335</v>
      </c>
      <c r="O207" s="16" t="s">
        <v>46</v>
      </c>
    </row>
    <row r="208" spans="1:15" x14ac:dyDescent="0.35">
      <c r="B208" s="16" t="s">
        <v>13</v>
      </c>
      <c r="D208" s="16">
        <v>0</v>
      </c>
      <c r="E208" s="16">
        <v>1</v>
      </c>
      <c r="F208" s="16">
        <v>1</v>
      </c>
      <c r="G208" s="16">
        <v>0</v>
      </c>
      <c r="H208" s="16">
        <v>0</v>
      </c>
      <c r="I208" s="16">
        <v>1</v>
      </c>
      <c r="J208" s="16">
        <v>0</v>
      </c>
      <c r="K208" s="16">
        <v>0</v>
      </c>
      <c r="L208" s="16">
        <v>0</v>
      </c>
      <c r="M208" s="16">
        <v>0</v>
      </c>
    </row>
    <row r="209" spans="1:13" x14ac:dyDescent="0.35">
      <c r="A209" s="16" t="s">
        <v>7</v>
      </c>
      <c r="B209" s="16" t="s">
        <v>11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</row>
    <row r="210" spans="1:13" x14ac:dyDescent="0.35">
      <c r="B210" s="16" t="s">
        <v>72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</row>
    <row r="211" spans="1:13" x14ac:dyDescent="0.35">
      <c r="B211" s="16" t="s">
        <v>18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</row>
    <row r="212" spans="1:13" x14ac:dyDescent="0.35">
      <c r="B212" s="16" t="s">
        <v>13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</row>
    <row r="213" spans="1:13" x14ac:dyDescent="0.35">
      <c r="A213" s="16" t="s">
        <v>8</v>
      </c>
      <c r="B213" s="16" t="s">
        <v>11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</row>
    <row r="214" spans="1:13" x14ac:dyDescent="0.35">
      <c r="B214" s="16" t="s">
        <v>72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</row>
    <row r="215" spans="1:13" x14ac:dyDescent="0.35">
      <c r="B215" s="16" t="s">
        <v>18</v>
      </c>
      <c r="D215" s="16">
        <v>2</v>
      </c>
      <c r="E215" s="16">
        <v>3</v>
      </c>
      <c r="F215" s="16">
        <v>4</v>
      </c>
      <c r="G215" s="16">
        <v>1</v>
      </c>
      <c r="H215" s="16">
        <v>0</v>
      </c>
      <c r="I215" s="16">
        <v>5</v>
      </c>
      <c r="J215" s="16">
        <v>0</v>
      </c>
      <c r="K215" s="16">
        <v>0</v>
      </c>
      <c r="L215" s="16">
        <v>0</v>
      </c>
      <c r="M215" s="16">
        <v>0</v>
      </c>
    </row>
    <row r="216" spans="1:13" x14ac:dyDescent="0.35">
      <c r="B216" s="16" t="s">
        <v>13</v>
      </c>
      <c r="D216" s="16">
        <v>1</v>
      </c>
      <c r="E216" s="16">
        <v>2</v>
      </c>
      <c r="F216" s="16">
        <v>2</v>
      </c>
      <c r="G216" s="16">
        <v>1</v>
      </c>
      <c r="H216" s="16">
        <v>0</v>
      </c>
      <c r="I216" s="16">
        <v>3</v>
      </c>
      <c r="J216" s="16">
        <v>0</v>
      </c>
      <c r="K216" s="16">
        <v>0</v>
      </c>
      <c r="L216" s="16">
        <v>0</v>
      </c>
      <c r="M216" s="16">
        <v>0</v>
      </c>
    </row>
    <row r="217" spans="1:13" x14ac:dyDescent="0.35">
      <c r="B217" s="16" t="s">
        <v>74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</row>
    <row r="218" spans="1:13" x14ac:dyDescent="0.35">
      <c r="A218" s="16" t="s">
        <v>9</v>
      </c>
      <c r="B218" s="16" t="s">
        <v>11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</row>
    <row r="219" spans="1:13" x14ac:dyDescent="0.35">
      <c r="B219" s="16" t="s">
        <v>72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</row>
    <row r="220" spans="1:13" x14ac:dyDescent="0.35">
      <c r="B220" s="16" t="s">
        <v>18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</row>
    <row r="221" spans="1:13" x14ac:dyDescent="0.35">
      <c r="B221" s="16" t="s">
        <v>13</v>
      </c>
      <c r="D221" s="16">
        <v>1</v>
      </c>
      <c r="E221" s="16">
        <v>1</v>
      </c>
      <c r="F221" s="16">
        <v>2</v>
      </c>
      <c r="G221" s="16">
        <v>0</v>
      </c>
      <c r="H221" s="16">
        <v>0</v>
      </c>
      <c r="I221" s="16">
        <v>2</v>
      </c>
      <c r="J221" s="16">
        <v>0</v>
      </c>
      <c r="K221" s="16">
        <v>0</v>
      </c>
      <c r="L221" s="16">
        <v>0</v>
      </c>
      <c r="M221" s="16">
        <v>0</v>
      </c>
    </row>
    <row r="222" spans="1:13" x14ac:dyDescent="0.35">
      <c r="B222" s="16" t="s">
        <v>74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</row>
  </sheetData>
  <mergeCells count="2">
    <mergeCell ref="S34:AA34"/>
    <mergeCell ref="AJ1:AN1"/>
  </mergeCells>
  <phoneticPr fontId="5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CB154-1077-47CD-9A0F-402154863DA4}">
  <sheetPr>
    <tabColor theme="9"/>
  </sheetPr>
  <dimension ref="A1"/>
  <sheetViews>
    <sheetView workbookViewId="0">
      <selection activeCell="I19" sqref="I19"/>
    </sheetView>
  </sheetViews>
  <sheetFormatPr defaultRowHeight="14.5" x14ac:dyDescent="0.35"/>
  <cols>
    <col min="1" max="16384" width="8.7265625" style="79"/>
  </cols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E995E128B3D541A9286118E21A1EC7" ma:contentTypeVersion="14" ma:contentTypeDescription="Create a new document." ma:contentTypeScope="" ma:versionID="820f8739037a0ab58fd2889028a0da8f">
  <xsd:schema xmlns:xsd="http://www.w3.org/2001/XMLSchema" xmlns:xs="http://www.w3.org/2001/XMLSchema" xmlns:p="http://schemas.microsoft.com/office/2006/metadata/properties" xmlns:ns3="bf520789-6344-44e0-accb-850f9edab390" xmlns:ns4="d553a0a0-5a5b-4a3e-8bf7-7e89b02c3d08" targetNamespace="http://schemas.microsoft.com/office/2006/metadata/properties" ma:root="true" ma:fieldsID="46a8b4c0e4a0b0209e3aa5e787ca14c3" ns3:_="" ns4:_="">
    <xsd:import namespace="bf520789-6344-44e0-accb-850f9edab390"/>
    <xsd:import namespace="d553a0a0-5a5b-4a3e-8bf7-7e89b02c3d0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520789-6344-44e0-accb-850f9edab3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3a0a0-5a5b-4a3e-8bf7-7e89b02c3d0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E28237E-0341-4564-A617-3D75AFECE4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AF730A-138B-45D3-8D7F-93BBB503265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563C1CF-234F-4987-A642-F927927D03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520789-6344-44e0-accb-850f9edab390"/>
    <ds:schemaRef ds:uri="d553a0a0-5a5b-4a3e-8bf7-7e89b02c3d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Baseline March 2022--&gt;</vt:lpstr>
      <vt:lpstr>Delapre WD</vt:lpstr>
      <vt:lpstr>St Crispins WD</vt:lpstr>
      <vt:lpstr>Hunsbury WD</vt:lpstr>
      <vt:lpstr>Delapre WE</vt:lpstr>
      <vt:lpstr>Hunsbury WE</vt:lpstr>
      <vt:lpstr>St Crispins WE</vt:lpstr>
      <vt:lpstr>Template Sheets --&gt;</vt:lpstr>
      <vt:lpstr>Input</vt:lpstr>
      <vt:lpstr>Template Summary</vt:lpstr>
      <vt:lpstr>Reliability</vt:lpstr>
      <vt:lpstr>Delapre Automated Counts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Declan Ryan</dc:creator>
  <cp:lastModifiedBy>Declan Ryan</cp:lastModifiedBy>
  <dcterms:created xsi:type="dcterms:W3CDTF">2022-03-21T13:14:29Z</dcterms:created>
  <dcterms:modified xsi:type="dcterms:W3CDTF">2022-06-16T08:15:30Z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0x01010095E995E128B3D541A9286118E21A1EC7</vt:lpwstr>
  </property>
</Properties>
</file>